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6915" tabRatio="730" activeTab="0"/>
  </bookViews>
  <sheets>
    <sheet name="data" sheetId="1" r:id="rId1"/>
    <sheet name="indicators-aux" sheetId="2" state="hidden" r:id="rId2"/>
    <sheet name="indicators" sheetId="3" r:id="rId3"/>
    <sheet name="Sheet4" sheetId="4" r:id="rId4"/>
    <sheet name="Sheet5" sheetId="5" r:id="rId5"/>
    <sheet name="Sheet6" sheetId="6" r:id="rId6"/>
  </sheets>
  <definedNames>
    <definedName name="_xlnm.Print_Area" localSheetId="0">'data'!$A$1:$BI$240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O4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ГКП УВиК
</t>
        </r>
      </text>
    </comment>
  </commentList>
</comments>
</file>

<file path=xl/sharedStrings.xml><?xml version="1.0" encoding="utf-8"?>
<sst xmlns="http://schemas.openxmlformats.org/spreadsheetml/2006/main" count="1849" uniqueCount="345">
  <si>
    <t>Utility code number</t>
  </si>
  <si>
    <t>Country</t>
  </si>
  <si>
    <t>City</t>
  </si>
  <si>
    <t>Year</t>
  </si>
  <si>
    <t>Nature of service area</t>
  </si>
  <si>
    <t>Type of service provider</t>
  </si>
  <si>
    <t>2c</t>
  </si>
  <si>
    <t>3a</t>
  </si>
  <si>
    <t>40a</t>
  </si>
  <si>
    <t>40b</t>
  </si>
  <si>
    <t>59a</t>
  </si>
  <si>
    <t>59a1</t>
  </si>
  <si>
    <t>59a2</t>
  </si>
  <si>
    <t>59b</t>
  </si>
  <si>
    <t>59c</t>
  </si>
  <si>
    <t>59d</t>
  </si>
  <si>
    <t>81a</t>
  </si>
  <si>
    <t>81b</t>
  </si>
  <si>
    <t>81c</t>
  </si>
  <si>
    <t>81d</t>
  </si>
  <si>
    <t>81e</t>
  </si>
  <si>
    <t>90a</t>
  </si>
  <si>
    <t>90b</t>
  </si>
  <si>
    <t>90c</t>
  </si>
  <si>
    <t>90d</t>
  </si>
  <si>
    <t>90e</t>
  </si>
  <si>
    <t>90f</t>
  </si>
  <si>
    <t>90g</t>
  </si>
  <si>
    <t>90h</t>
  </si>
  <si>
    <t>90i</t>
  </si>
  <si>
    <t>90j</t>
  </si>
  <si>
    <t>94a</t>
  </si>
  <si>
    <t>94b</t>
  </si>
  <si>
    <t>112a</t>
  </si>
  <si>
    <t>112b</t>
  </si>
  <si>
    <t>F.1</t>
  </si>
  <si>
    <t>Utility name</t>
  </si>
  <si>
    <t>Utility Code</t>
  </si>
  <si>
    <t>Size Band</t>
  </si>
  <si>
    <t>Provides water service?</t>
  </si>
  <si>
    <t>Provides Sewerage Service?</t>
  </si>
  <si>
    <t>Provides other services?</t>
  </si>
  <si>
    <t>Extent 
of 
Private Sector Involvement</t>
  </si>
  <si>
    <t>Number of towns served with water</t>
  </si>
  <si>
    <t>Number of towns served with sewerage</t>
  </si>
  <si>
    <t>Density of water connections
#/km</t>
  </si>
  <si>
    <t>Density of sewer connections
#/km</t>
  </si>
  <si>
    <t>Population per water connection</t>
  </si>
  <si>
    <t>Population per sewer connection</t>
  </si>
  <si>
    <t>1,1 
Water 
Coverage
%</t>
  </si>
  <si>
    <t>1,2
Water Coverage - household connections
%</t>
  </si>
  <si>
    <t>1,3
Water Coverage - public water points
%</t>
  </si>
  <si>
    <t>2,1 
Sewerage 
Coverage
%</t>
  </si>
  <si>
    <t>3,1 
Water 
Production
l/person/ day</t>
  </si>
  <si>
    <t>3,2 
Water 
Production
m3/conn/ month</t>
  </si>
  <si>
    <t>4,1 
Total Water 
Consumption
l/person/day</t>
  </si>
  <si>
    <t>4,2 
Total Water 
Consumption
m3/conn/ month</t>
  </si>
  <si>
    <t>4,3
Residential Consumption
% of total consumption</t>
  </si>
  <si>
    <t>4,4
Industrial/ Commercial Consumption
% of total consumption</t>
  </si>
  <si>
    <t>4,5
Consumption by Institutes &amp; Others
% of total consumption</t>
  </si>
  <si>
    <t>4,6
Bulk Treated Supply
% of total consumption</t>
  </si>
  <si>
    <t>4,7
Residential Consumption
l/person/day</t>
  </si>
  <si>
    <t>4,8
Residential Consumption - connections to main supply
l/person/day</t>
  </si>
  <si>
    <t>4,9
Residential Consumption - public water points
l/person/day</t>
  </si>
  <si>
    <t>6,1 
Non Revenue Water
%</t>
  </si>
  <si>
    <t>6,2 
Non Revenue Water
m3/km/ day</t>
  </si>
  <si>
    <t>6,3 
Non Revenue Water
m3/conn/ day</t>
  </si>
  <si>
    <t>7,1 
Metering 
Level
%</t>
  </si>
  <si>
    <t>8,1
% Sold that 
is Metered
%</t>
  </si>
  <si>
    <t>9,1 
Pipe 
Breaks
breaks/ km/yr</t>
  </si>
  <si>
    <t>10,1 
Sewer System Blockages
blockages/ km/yr</t>
  </si>
  <si>
    <t>11,1 
Unit Operational Cost W&amp;WW
US$/m3 water sold</t>
  </si>
  <si>
    <t>11,2 
Unit Operational Cost W&amp;WW
US$/m3 water produced</t>
  </si>
  <si>
    <t>11,3
Unit Operational Cost - water only
US$/m3 sold</t>
  </si>
  <si>
    <t>11,4
Operational Cost Split - % water
%</t>
  </si>
  <si>
    <t>11,5
Operational Cost Split - % wastewater
%</t>
  </si>
  <si>
    <t>11,6
Unit Operational Cost - wastewater
US$/WW pop served</t>
  </si>
  <si>
    <t>12,1
Staff W/'000 W conn
#/'000 W conn</t>
  </si>
  <si>
    <t>12,2 
Staff W&amp;WW/'000 W&amp;WW conn
#/'000 W&amp;WW conn</t>
  </si>
  <si>
    <t>12,3 
Staff W/'000 W Pop Served
#/'000 W pop served</t>
  </si>
  <si>
    <t>12,4 
Staff W&amp;WW/'000 W&amp;WW Pop Served
#/'000 W&amp;WW pop served</t>
  </si>
  <si>
    <t>12,5
Staff WW/'000 WW conn
#/'000 WW conn</t>
  </si>
  <si>
    <t>12,6
Staff WW/'000 WW Pop Served
#/'000 WW pop served</t>
  </si>
  <si>
    <t>12,7
Staff % Water
%</t>
  </si>
  <si>
    <t>12,8
Staff % Wastewater
%</t>
  </si>
  <si>
    <t>13,1
Labor costs vs 
Operating costs
%</t>
  </si>
  <si>
    <t>13,2
Electrical Energy Costs vs Operating Costs
%</t>
  </si>
  <si>
    <t>14,1 
Contract out serv 
costs vs Oper costs
%</t>
  </si>
  <si>
    <t>15,1 
Continuity 
of service
Hrs/day</t>
  </si>
  <si>
    <t>15,2
Customers With Discontinuous Supply
%</t>
  </si>
  <si>
    <t>15,3
Quality of Water Supplied: # tests for residual chlorine
% of # required</t>
  </si>
  <si>
    <t>15,4
Quality of Water Supplied: samples passing on residual chlorine
%</t>
  </si>
  <si>
    <t>16,1 
Complaints of 
W&amp;WW services
% of W&amp;WW conn</t>
  </si>
  <si>
    <t>17,1 
Wastewater - at least primary treatment
%</t>
  </si>
  <si>
    <t>17,2
Wastewater - primary treatment only
%</t>
  </si>
  <si>
    <t>17,3
Wastewater - secondary treatment or better
%</t>
  </si>
  <si>
    <t>18,1 
Average Revenue W&amp;WW
US$/m3 water sold</t>
  </si>
  <si>
    <t>18,2 
Average Revenue W&amp;WW
US$/W conn/yr</t>
  </si>
  <si>
    <t>18,3 
Average revenue - water only
US$/m3 water sold</t>
  </si>
  <si>
    <t>18,4
Revenue Split - % Water
% of total for W&amp;WW</t>
  </si>
  <si>
    <t>18,5
Revenue Split - % Wastewater
% of total for W&amp;WW</t>
  </si>
  <si>
    <t>18,6
Water Revenue - Residential
% of total water revenue</t>
  </si>
  <si>
    <t>18,7
Water Revenue - Industrial/ Commercial
% of total water revenue</t>
  </si>
  <si>
    <t>18,8
Water Revenue - Institutions &amp; Others
% of total water revenue</t>
  </si>
  <si>
    <t>18,9
Water Revenue - Bulk Treated Supply
% of total revenue</t>
  </si>
  <si>
    <t>18,10
Wastewater Revenue / Population served
US$/WW pop served</t>
  </si>
  <si>
    <t>19,1 
Total Revenues/ Service Pop/GNI
% GNI per capita</t>
  </si>
  <si>
    <t>19,2 Annual Bill for HH consuming 6m3 of Water/Month
US$/yr</t>
  </si>
  <si>
    <t>20,1 
Residential Fixed 
Component of Tariff
US$/conn/yr</t>
  </si>
  <si>
    <t>20,2 
Residential Fixed 
Component of Tariff
% of average bill</t>
  </si>
  <si>
    <t>20,3
Residential Fixed Component of Tariff - Water
US$/conn/yr</t>
  </si>
  <si>
    <t>20,4
Residential Fixed Component of Tariff - Wastewater
US$/conn/yr</t>
  </si>
  <si>
    <t>20,5
Residential Fixed Component of Tariff - Water
% of average bill</t>
  </si>
  <si>
    <t>20,6
Residential Fixed Component of Tariff - Wastewater
% of average bill</t>
  </si>
  <si>
    <t>21,1 
Ratio of Industrial to Residential Tariff
ratio</t>
  </si>
  <si>
    <t>21,2
Ratio of Industrial to Residential Tariff - Water
ratio</t>
  </si>
  <si>
    <t>21,3
Ratio of Industrial to Residential Tariff - Wastewater
ratio</t>
  </si>
  <si>
    <t>22,1 
Connection 
Charge - water
US$/conn</t>
  </si>
  <si>
    <t>22,2 
Connection 
Charge - water
% GNI per capita</t>
  </si>
  <si>
    <t>22,3 
Connection 
Charge - sewerage
US$/conn</t>
  </si>
  <si>
    <t>22,4 
Connection Charge - sewerage
% GNI per capita</t>
  </si>
  <si>
    <t>23,1 
Collection 
Period
Days</t>
  </si>
  <si>
    <t>23,2
Collection Ratio
%</t>
  </si>
  <si>
    <t>24,1
Operating Cost Coverage
ratio</t>
  </si>
  <si>
    <t>25,1
Debt Service 
Ratio
%</t>
  </si>
  <si>
    <t>27,1
Gross Fixed Assets - W&amp;WW
US$/W&amp;WW pop served</t>
  </si>
  <si>
    <t>27,2
Gross Fixed Assets - Water
US$/W pop served</t>
  </si>
  <si>
    <t>27,3
Gross Fixed Assets - Wastewater
US$/WW pop served</t>
  </si>
  <si>
    <t>19,2 
Monthly Bill for HH consuming 6m3 of Water/Month
US$/yr</t>
  </si>
  <si>
    <t>P.1
Utility's Planning Process</t>
  </si>
  <si>
    <t>P.1
If C (other), description</t>
  </si>
  <si>
    <t>R.1
Who has general oversight of the utility's services and prices?</t>
  </si>
  <si>
    <t>R.1
If D (other), description</t>
  </si>
  <si>
    <t>HR.1
Has a skills and training strategy for all staff</t>
  </si>
  <si>
    <t>HR.2
Has an annual appraisal and target setting for managers</t>
  </si>
  <si>
    <t>HR.3
Has an annual appraisal and target setting for all staff</t>
  </si>
  <si>
    <t>HR.4
Has a reward and recognition programme for all staff</t>
  </si>
  <si>
    <t>HR.5
Has the ability to recruit and dismiss staff (within an agreed plan)</t>
  </si>
  <si>
    <t>F.1
Grants or government transfers to the utility</t>
  </si>
  <si>
    <t>F.2
Borrowing from international finanicial agencies (multi or bilateral)</t>
  </si>
  <si>
    <t>F.3
Borrowing from government owned banks</t>
  </si>
  <si>
    <t>F.4
Borrowing from commercial banks or bond holders</t>
  </si>
  <si>
    <t>C.1
Does the utility offer more than one level of service for household or shared water supplies (excluding free standing pipes)?</t>
  </si>
  <si>
    <t>C.2
Does the utility offer more than one level of sanitation or sewerage service/ technology for households (excluding free public toilets)?</t>
  </si>
  <si>
    <t>C.3
Does the utility offer a flexible/ amortized repayment option to spread the costs of connection to the water and/or sanitation network?</t>
  </si>
  <si>
    <t>C.5.1
How does the utility find out the views of its customers? Letters, telephone calls etc. from customers</t>
  </si>
  <si>
    <t>C.5.2
How does the utility find out the views of its customers? Responding to customer complaints</t>
  </si>
  <si>
    <t>C.5.3
How does the utility find out the views of its customers? Questionnaire survey</t>
  </si>
  <si>
    <t>C.5.4
How does the utility find out the views of its customers? Other</t>
  </si>
  <si>
    <t>C.5.4
If Other, description</t>
  </si>
  <si>
    <t>ER</t>
  </si>
  <si>
    <t>PPP</t>
  </si>
  <si>
    <t>19,2 
Annual Bill for HH consuming 6m3 of Water/Month
US$/yr</t>
  </si>
  <si>
    <t>Полное название предприятия</t>
  </si>
  <si>
    <t>Город</t>
  </si>
  <si>
    <t>в тыс чел.</t>
  </si>
  <si>
    <t>число</t>
  </si>
  <si>
    <t>Участие частного сектора</t>
  </si>
  <si>
    <t>тысяч</t>
  </si>
  <si>
    <t>Длина сетей водоснабжения</t>
  </si>
  <si>
    <t>км</t>
  </si>
  <si>
    <t>Число аварий на водопроводе</t>
  </si>
  <si>
    <t>Длина сетей канализации</t>
  </si>
  <si>
    <t>Число засоров канализации в год</t>
  </si>
  <si>
    <t>Стоимость основных средств</t>
  </si>
  <si>
    <t>Стоимость основных средств, водоснабжение</t>
  </si>
  <si>
    <t>Стоимость основных средств, канализация</t>
  </si>
  <si>
    <t>Затраты на обслуживание долга</t>
  </si>
  <si>
    <t>Дебиторская задолженность потребителей услуг</t>
  </si>
  <si>
    <t>да/нет</t>
  </si>
  <si>
    <t>Всего доходов от водоснабжения</t>
  </si>
  <si>
    <t>Всего доходов от канализации</t>
  </si>
  <si>
    <t>Всего доходов от оптовой продажи воды</t>
  </si>
  <si>
    <t>Всего собрано платежей</t>
  </si>
  <si>
    <t>Всего расходов</t>
  </si>
  <si>
    <t>Всего расходов, водоснабжение</t>
  </si>
  <si>
    <t>Всего расходов, канализация</t>
  </si>
  <si>
    <t>Расходы на оплату труда сотрудников предприятия</t>
  </si>
  <si>
    <t>Расходы на электроэнергию</t>
  </si>
  <si>
    <t>Объём произведённой воды</t>
  </si>
  <si>
    <t>Объём проданной воды через приборы учёта</t>
  </si>
  <si>
    <t>Объём проданной воды всего</t>
  </si>
  <si>
    <t>Астана</t>
  </si>
  <si>
    <t>Государственное коммунальное предприятие "Астана Су Арнасы"</t>
  </si>
  <si>
    <t>да</t>
  </si>
  <si>
    <t>нет</t>
  </si>
  <si>
    <t>отсутствует</t>
  </si>
  <si>
    <t>D</t>
  </si>
  <si>
    <t>Литров на чел/сут</t>
  </si>
  <si>
    <t>112с</t>
  </si>
  <si>
    <t>млн. куб. м в год</t>
  </si>
  <si>
    <t xml:space="preserve"> Сумма в нац. валюте (тенге) </t>
  </si>
  <si>
    <t>Расходы периода</t>
  </si>
  <si>
    <t>94с</t>
  </si>
  <si>
    <t>C.5</t>
  </si>
  <si>
    <t>Сумма в нац. валюте (тенге)</t>
  </si>
  <si>
    <t xml:space="preserve"> Общее потребление электроэнергии </t>
  </si>
  <si>
    <t>30.01</t>
  </si>
  <si>
    <t xml:space="preserve"> Миллионов кВтч </t>
  </si>
  <si>
    <t>Списочное кол-во сотрудников (всего)</t>
  </si>
  <si>
    <t>Кол-во подключений</t>
  </si>
  <si>
    <t>Объём переработанных стоков (мехочистка)</t>
  </si>
  <si>
    <t>Объём переработанных стоков (биоочистка)</t>
  </si>
  <si>
    <t>Всего доходов (водоснабжение и канализация)</t>
  </si>
  <si>
    <t>Товарищество с ограниченной ответственностью "Караганды Су"</t>
  </si>
  <si>
    <t>Караганды</t>
  </si>
  <si>
    <t>2 (г. Караганды, пос. Актас)</t>
  </si>
  <si>
    <t>группа компаний</t>
  </si>
  <si>
    <t>Расходы на контракты, заключённые со сторонними организациями</t>
  </si>
  <si>
    <t>Государственное коммунальное предприятие "Водокнанал" Акимата г. Алматы</t>
  </si>
  <si>
    <t>Алматы</t>
  </si>
  <si>
    <t xml:space="preserve">отсутствует </t>
  </si>
  <si>
    <t>Дочернее государственное коммунальное предприятие "Тоспа Су" государственного коммунального предприятия на праве хозяйственного ведения "Холдинг Алматы Су" акимата города Алматы</t>
  </si>
  <si>
    <t>Дочернее</t>
  </si>
  <si>
    <t>Дочернее государственное коммунальное предприятие "Су желiсi" государственного коммунального предприятия на праве хозяйственного ведения "Холдинг Алматы Су" акимата города Алматы</t>
  </si>
  <si>
    <t>Дочернее государственное коммунальное предприятие "Бастау" государственного коммунального предприятия на праве хозяйственного ведения "Холдинг Алматы Су" акимата города Алматы</t>
  </si>
  <si>
    <t>13.47</t>
  </si>
  <si>
    <t>155,,40</t>
  </si>
  <si>
    <t>Товарищество с ограниченной ответственностью "Водные ресурсы - Маркетинг"</t>
  </si>
  <si>
    <t>Шымкент</t>
  </si>
  <si>
    <t>самостоятельно</t>
  </si>
  <si>
    <t>самостоятельное предприятие</t>
  </si>
  <si>
    <t>Открытое Акционерное общество "Акбулак"</t>
  </si>
  <si>
    <t>Актобе</t>
  </si>
  <si>
    <t>*300</t>
  </si>
  <si>
    <t xml:space="preserve">нет </t>
  </si>
  <si>
    <t>нет данных</t>
  </si>
  <si>
    <t>*320</t>
  </si>
  <si>
    <t>*350</t>
  </si>
  <si>
    <t>*360</t>
  </si>
  <si>
    <t>Акционерное общество "Акбулак"</t>
  </si>
  <si>
    <t>*380</t>
  </si>
  <si>
    <t>*400</t>
  </si>
  <si>
    <t>*420</t>
  </si>
  <si>
    <t>*450</t>
  </si>
  <si>
    <t>Тараз</t>
  </si>
  <si>
    <t>Товарищество с ограниченной ответственностью "Павлодар-Водоканал"</t>
  </si>
  <si>
    <t>Павлодар</t>
  </si>
  <si>
    <t xml:space="preserve">нет данных </t>
  </si>
  <si>
    <t>Государственное коммунальное предприятие "Орал Су Арнасы"</t>
  </si>
  <si>
    <t>Орал</t>
  </si>
  <si>
    <t>-</t>
  </si>
  <si>
    <t>Государственное коммунальное предприятие "Өскемен Водоканал" акимата города Усть-Каменогорска</t>
  </si>
  <si>
    <t>Усть-Каменогорск</t>
  </si>
  <si>
    <t>самостоятельное</t>
  </si>
  <si>
    <t>Государственное коммунальное предприятие "Костанай-Су"</t>
  </si>
  <si>
    <t>Костанай</t>
  </si>
  <si>
    <t>А</t>
  </si>
  <si>
    <t xml:space="preserve">D </t>
  </si>
  <si>
    <t>Коммунальное государственное предприятие "Атырау Су Арнасы"</t>
  </si>
  <si>
    <t>Атырау</t>
  </si>
  <si>
    <t>2006  июль-дек.</t>
  </si>
  <si>
    <t>Коммунальное Государственное предприятие "Атырау Су Арнасы"</t>
  </si>
  <si>
    <t>Коммунальное Государственное предприятие "Кызылорда Су жуйеси"</t>
  </si>
  <si>
    <t>Кызыл орда</t>
  </si>
  <si>
    <t>Акционерное общество Петропавл су</t>
  </si>
  <si>
    <t>Петропавловск</t>
  </si>
  <si>
    <t>100 % акций Акимата области</t>
  </si>
  <si>
    <t>Актау</t>
  </si>
  <si>
    <t>Государственное коммунальное предприятие "Семей-Водоканал"</t>
  </si>
  <si>
    <t>Семей</t>
  </si>
  <si>
    <t>7 - г. Семей, с.Приречное, п.Гранитный, с.Айнабулак, с.Абралы, с.Догалан, с.Кайнар</t>
  </si>
  <si>
    <t xml:space="preserve"> г. Семей, с.Жаркын, с.Приречное, п.Гранитный, с.Айнабулак, с.Абралы, с.Догалан, с.Кайнар, Достык и Чекоман</t>
  </si>
  <si>
    <t>Алматинское областное государственное коммунальное предприятие "Жетысу Водоканал"</t>
  </si>
  <si>
    <t>Городское государственное коммунальное предприятие "Жетысу Водоканал"</t>
  </si>
  <si>
    <t>Талдыкорган</t>
  </si>
  <si>
    <t>Государственное коммунальное предприятие "Экібастұзсу"</t>
  </si>
  <si>
    <t>Экибастуз</t>
  </si>
  <si>
    <t>Государственное коммунальное предприятие "Экіастұзсу"</t>
  </si>
  <si>
    <t>Государственное коммунальное предприятие "Горводоканал"</t>
  </si>
  <si>
    <t>Государственное коммунальное предприятие "Кокшетау Су Арнасы"</t>
  </si>
  <si>
    <t>Кокшетау</t>
  </si>
  <si>
    <t>Товарищество с ограниченной ответственностью "Рудненский Водоканал"</t>
  </si>
  <si>
    <t>Рудный</t>
  </si>
  <si>
    <t>F</t>
  </si>
  <si>
    <t>2,1</t>
  </si>
  <si>
    <t>дочернее предприятие АО "Евразийская промышленная компания"</t>
  </si>
  <si>
    <t>21,1/9,8</t>
  </si>
  <si>
    <t>16,5/9,1</t>
  </si>
  <si>
    <t>3,8/0,6</t>
  </si>
  <si>
    <t>12,3/8,4</t>
  </si>
  <si>
    <t>0,4/0,03</t>
  </si>
  <si>
    <t>2,4</t>
  </si>
  <si>
    <t>20,7/10,8</t>
  </si>
  <si>
    <t>16,8/10,3</t>
  </si>
  <si>
    <t>3,7/0,5</t>
  </si>
  <si>
    <t>12,5/9,7</t>
  </si>
  <si>
    <t>0,5/0,025</t>
  </si>
  <si>
    <t>2,8</t>
  </si>
  <si>
    <t>1b</t>
  </si>
  <si>
    <t>Государственное коммунальное предприятие "Водоканал"</t>
  </si>
  <si>
    <t>Лениногорск</t>
  </si>
  <si>
    <t>В</t>
  </si>
  <si>
    <t>Государственное коммунальное предприятие "Водоканал" Акимата г. Риддера</t>
  </si>
  <si>
    <t>Риддер</t>
  </si>
  <si>
    <t>Государственное коммунальное предприятие "Инфросервис" акимата г. Риддера</t>
  </si>
  <si>
    <t>Государственное  предприятие "Водоканал"</t>
  </si>
  <si>
    <t>Зыряновск</t>
  </si>
  <si>
    <t>Государственное коммунальное предприятие на праве хозяйственного ведения "Атбасар су" при акимате Атбасарского района</t>
  </si>
  <si>
    <t>Атбасар</t>
  </si>
  <si>
    <t>22.10.07-31.12.07</t>
  </si>
  <si>
    <t xml:space="preserve">да </t>
  </si>
  <si>
    <t>ГКП на ПХВ</t>
  </si>
  <si>
    <t>Государственное коммунальное предприятие на правах хозяйственного ведения "Бурабай Су Арнасы"</t>
  </si>
  <si>
    <t>Щучинск</t>
  </si>
  <si>
    <t>Коммунальное Государственное предприятие на правах хозяйственного ведения "Ерейментау Су Арнасы" при акимате Ерейментауского района</t>
  </si>
  <si>
    <t>Ерейментау</t>
  </si>
  <si>
    <t xml:space="preserve">Коммунальное Государственное Предприятие "Водоканал города Серебрянск" Акимата Зыряновского района </t>
  </si>
  <si>
    <t>Серебрянск</t>
  </si>
  <si>
    <t>Государственное коммунальное предприятие "Тепловые водопроводные сети и водоотведение" акимата г. Актау</t>
  </si>
  <si>
    <t>Государственное коммунальное предприятие "Тараз Су"</t>
  </si>
  <si>
    <t>Всего доходов от населения (водоснабж.)</t>
  </si>
  <si>
    <t>Получало ли предприятие финпомощь от госстуктур?</t>
  </si>
  <si>
    <t>Всего доходов от бюджетных и прочих предприятий (водоснабж.)</t>
  </si>
  <si>
    <t>Всего доходов от населения (водоснабж. и канализ.)</t>
  </si>
  <si>
    <t>2008 окт.-дек.</t>
  </si>
  <si>
    <t xml:space="preserve">Стоимость основных средств, общих для водоснабж. и канализац. </t>
  </si>
  <si>
    <t>Число подключений к сетям канал.</t>
  </si>
  <si>
    <t>386 за 6 мес.</t>
  </si>
  <si>
    <t>Всего собрано канализ. стоков</t>
  </si>
  <si>
    <t>Всего собрано канал. стоков (насел.)</t>
  </si>
  <si>
    <t>Объём воды, проданной насел-ю</t>
  </si>
  <si>
    <t>Объём воды, прод. насел. из водор. колон.</t>
  </si>
  <si>
    <t>Объём воды, прод. насел. через прямое подкл.</t>
  </si>
  <si>
    <t>Объём воды, прод. пром. и коммерческим предпр.</t>
  </si>
  <si>
    <t>Объём воды, прод. бюдж. предпр. и пр. польз.</t>
  </si>
  <si>
    <t>Обслуживаемое насел., водоснабж.</t>
  </si>
  <si>
    <t>Нас. с прямым подкл. к сетям водос.</t>
  </si>
  <si>
    <t>Нас., обсл. водоразб. кол.</t>
  </si>
  <si>
    <t>Всего доходов от промышл. и коммерческих предприятий (водоснабж.)</t>
  </si>
  <si>
    <t>Общее население административной единицы</t>
  </si>
  <si>
    <t>Годы</t>
  </si>
  <si>
    <t>Кол-во населенных пунктов, обслуживаемых предприятием</t>
  </si>
  <si>
    <t>чел.</t>
  </si>
  <si>
    <t>Основные результаты производственно-финансовой деятельности городских предприятий водоснабжения и водоотведения (Водоканалов) Республики Казахстан за 2000-2010 годы.</t>
  </si>
  <si>
    <t>тыс. чел.</t>
  </si>
  <si>
    <t>Обслуживаемое население (канализ.)</t>
  </si>
  <si>
    <t>Всего собрано канализ. стоков (промышл. и коммерч. предприят.)</t>
  </si>
  <si>
    <t>Всего доходов от пром. и коммерч. предприятий (водосн. и канализация)</t>
  </si>
  <si>
    <t>Всего доходов от услуг канализ. для населения</t>
  </si>
  <si>
    <t>Всего доходов от услуг канал. для всех прочих предприятий и организаций</t>
  </si>
  <si>
    <t>Утверждённая норма водопотребл. при полном благоустройстве</t>
  </si>
  <si>
    <t>Объём воды, прод. другим водокан. для дальн. перепр. (оптом)</t>
  </si>
  <si>
    <t>Подключ. с работ. водомерным счётчиком</t>
  </si>
  <si>
    <t>Тип предприятия (отдел муниципал., самостоят. предпр., группа компаний)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</si>
</sst>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"/>
    <numFmt numFmtId="183" formatCode="_(&quot;$&quot;* #,##0_);_(&quot;$&quot;* \(#,##0\);_(&quot;$&quot;* &quot;-&quot;??_);_(@_)"/>
    <numFmt numFmtId="184" formatCode="0.0000"/>
    <numFmt numFmtId="185" formatCode="0.000"/>
    <numFmt numFmtId="186" formatCode="#,##0.0"/>
    <numFmt numFmtId="187" formatCode="#,##0_ ;\-#,##0\ "/>
    <numFmt numFmtId="188" formatCode="#,##0.000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3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Verdana"/>
      <family val="2"/>
    </font>
    <font>
      <sz val="8"/>
      <name val="Arial Narrow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"/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8" fillId="20" borderId="1">
      <alignment horizontal="right" vertical="center"/>
      <protection/>
    </xf>
    <xf numFmtId="1" fontId="8" fillId="20" borderId="1">
      <alignment horizontal="right" vertical="center"/>
      <protection/>
    </xf>
    <xf numFmtId="0" fontId="5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14">
    <xf numFmtId="0" fontId="0" fillId="0" borderId="0" xfId="0" applyAlignment="1">
      <alignment/>
    </xf>
    <xf numFmtId="180" fontId="0" fillId="0" borderId="1" xfId="63" applyNumberFormat="1" applyFont="1" applyBorder="1" applyAlignment="1">
      <alignment/>
    </xf>
    <xf numFmtId="0" fontId="0" fillId="0" borderId="1" xfId="0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9" fontId="3" fillId="34" borderId="11" xfId="60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9" fontId="0" fillId="0" borderId="1" xfId="60" applyFont="1" applyBorder="1" applyAlignment="1">
      <alignment/>
    </xf>
    <xf numFmtId="170" fontId="0" fillId="0" borderId="1" xfId="46" applyFont="1" applyBorder="1" applyAlignment="1">
      <alignment/>
    </xf>
    <xf numFmtId="171" fontId="0" fillId="0" borderId="1" xfId="63" applyFont="1" applyBorder="1" applyAlignment="1">
      <alignment/>
    </xf>
    <xf numFmtId="171" fontId="0" fillId="0" borderId="0" xfId="63" applyFont="1" applyBorder="1" applyAlignment="1">
      <alignment/>
    </xf>
    <xf numFmtId="180" fontId="0" fillId="0" borderId="0" xfId="63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60" applyFont="1" applyBorder="1" applyAlignment="1">
      <alignment/>
    </xf>
    <xf numFmtId="170" fontId="0" fillId="0" borderId="0" xfId="46" applyFont="1" applyBorder="1" applyAlignment="1">
      <alignment/>
    </xf>
    <xf numFmtId="182" fontId="0" fillId="0" borderId="0" xfId="0" applyNumberFormat="1" applyBorder="1" applyAlignment="1">
      <alignment/>
    </xf>
    <xf numFmtId="9" fontId="3" fillId="34" borderId="12" xfId="60" applyFont="1" applyFill="1" applyBorder="1" applyAlignment="1">
      <alignment horizontal="center" vertical="center" wrapText="1"/>
    </xf>
    <xf numFmtId="9" fontId="0" fillId="0" borderId="0" xfId="60" applyFont="1" applyAlignment="1">
      <alignment/>
    </xf>
    <xf numFmtId="0" fontId="0" fillId="0" borderId="1" xfId="63" applyNumberFormat="1" applyFont="1" applyBorder="1" applyAlignment="1">
      <alignment/>
    </xf>
    <xf numFmtId="181" fontId="0" fillId="0" borderId="1" xfId="63" applyNumberFormat="1" applyFont="1" applyBorder="1" applyAlignment="1">
      <alignment/>
    </xf>
    <xf numFmtId="0" fontId="0" fillId="0" borderId="0" xfId="0" applyFill="1" applyBorder="1" applyAlignment="1">
      <alignment/>
    </xf>
    <xf numFmtId="183" fontId="0" fillId="0" borderId="1" xfId="46" applyNumberFormat="1" applyFont="1" applyBorder="1" applyAlignment="1">
      <alignment/>
    </xf>
    <xf numFmtId="0" fontId="3" fillId="34" borderId="12" xfId="0" applyNumberFormat="1" applyFont="1" applyFill="1" applyBorder="1" applyAlignment="1">
      <alignment horizontal="center" vertical="center" wrapText="1"/>
    </xf>
    <xf numFmtId="181" fontId="3" fillId="34" borderId="11" xfId="63" applyNumberFormat="1" applyFont="1" applyFill="1" applyBorder="1" applyAlignment="1">
      <alignment horizontal="center" vertical="center" wrapText="1"/>
    </xf>
    <xf numFmtId="170" fontId="3" fillId="34" borderId="12" xfId="46" applyFont="1" applyFill="1" applyBorder="1" applyAlignment="1">
      <alignment horizontal="center" vertical="center" wrapText="1"/>
    </xf>
    <xf numFmtId="170" fontId="3" fillId="34" borderId="13" xfId="46" applyFont="1" applyFill="1" applyBorder="1" applyAlignment="1">
      <alignment horizontal="center" vertical="center" wrapText="1"/>
    </xf>
    <xf numFmtId="170" fontId="3" fillId="34" borderId="11" xfId="46" applyFont="1" applyFill="1" applyBorder="1" applyAlignment="1">
      <alignment horizontal="center" vertical="center" wrapText="1"/>
    </xf>
    <xf numFmtId="181" fontId="3" fillId="34" borderId="12" xfId="63" applyNumberFormat="1" applyFont="1" applyFill="1" applyBorder="1" applyAlignment="1">
      <alignment horizontal="center" vertical="center" wrapText="1"/>
    </xf>
    <xf numFmtId="9" fontId="3" fillId="34" borderId="13" xfId="60" applyFont="1" applyFill="1" applyBorder="1" applyAlignment="1">
      <alignment horizontal="center" vertical="center" wrapText="1"/>
    </xf>
    <xf numFmtId="171" fontId="3" fillId="34" borderId="12" xfId="63" applyFont="1" applyFill="1" applyBorder="1" applyAlignment="1">
      <alignment horizontal="center" vertical="center" wrapText="1"/>
    </xf>
    <xf numFmtId="171" fontId="3" fillId="34" borderId="11" xfId="63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71" fontId="0" fillId="0" borderId="16" xfId="63" applyFont="1" applyBorder="1" applyAlignment="1">
      <alignment/>
    </xf>
    <xf numFmtId="180" fontId="0" fillId="0" borderId="0" xfId="63" applyNumberFormat="1" applyFont="1" applyAlignment="1">
      <alignment/>
    </xf>
    <xf numFmtId="0" fontId="0" fillId="0" borderId="17" xfId="0" applyBorder="1" applyAlignment="1">
      <alignment/>
    </xf>
    <xf numFmtId="180" fontId="0" fillId="0" borderId="16" xfId="63" applyNumberFormat="1" applyFont="1" applyBorder="1" applyAlignment="1">
      <alignment/>
    </xf>
    <xf numFmtId="0" fontId="0" fillId="0" borderId="16" xfId="63" applyNumberFormat="1" applyFont="1" applyBorder="1" applyAlignment="1">
      <alignment/>
    </xf>
    <xf numFmtId="9" fontId="0" fillId="0" borderId="16" xfId="60" applyFont="1" applyBorder="1" applyAlignment="1">
      <alignment/>
    </xf>
    <xf numFmtId="181" fontId="0" fillId="0" borderId="16" xfId="63" applyNumberFormat="1" applyFont="1" applyBorder="1" applyAlignment="1">
      <alignment/>
    </xf>
    <xf numFmtId="170" fontId="0" fillId="0" borderId="16" xfId="46" applyFont="1" applyBorder="1" applyAlignment="1">
      <alignment/>
    </xf>
    <xf numFmtId="183" fontId="0" fillId="0" borderId="16" xfId="46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0" fontId="0" fillId="0" borderId="0" xfId="46" applyNumberFormat="1" applyFont="1" applyBorder="1" applyAlignment="1">
      <alignment/>
    </xf>
    <xf numFmtId="9" fontId="0" fillId="0" borderId="0" xfId="60" applyNumberFormat="1" applyFont="1" applyBorder="1" applyAlignment="1">
      <alignment/>
    </xf>
    <xf numFmtId="171" fontId="0" fillId="0" borderId="0" xfId="6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2" fontId="3" fillId="34" borderId="21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9" fontId="3" fillId="34" borderId="22" xfId="60" applyFont="1" applyFill="1" applyBorder="1" applyAlignment="1">
      <alignment horizontal="center" vertical="center" wrapText="1"/>
    </xf>
    <xf numFmtId="9" fontId="3" fillId="34" borderId="21" xfId="60" applyFont="1" applyFill="1" applyBorder="1" applyAlignment="1">
      <alignment horizontal="center" vertical="center" wrapText="1"/>
    </xf>
    <xf numFmtId="2" fontId="3" fillId="34" borderId="22" xfId="0" applyNumberFormat="1" applyFont="1" applyFill="1" applyBorder="1" applyAlignment="1">
      <alignment horizontal="center" vertical="center" wrapText="1"/>
    </xf>
    <xf numFmtId="181" fontId="3" fillId="34" borderId="21" xfId="63" applyNumberFormat="1" applyFont="1" applyFill="1" applyBorder="1" applyAlignment="1">
      <alignment horizontal="center" vertical="center" wrapText="1"/>
    </xf>
    <xf numFmtId="170" fontId="3" fillId="34" borderId="22" xfId="46" applyFont="1" applyFill="1" applyBorder="1" applyAlignment="1">
      <alignment horizontal="center" vertical="center" wrapText="1"/>
    </xf>
    <xf numFmtId="170" fontId="3" fillId="34" borderId="23" xfId="46" applyFont="1" applyFill="1" applyBorder="1" applyAlignment="1">
      <alignment horizontal="center" vertical="center" wrapText="1"/>
    </xf>
    <xf numFmtId="170" fontId="3" fillId="34" borderId="21" xfId="46" applyFont="1" applyFill="1" applyBorder="1" applyAlignment="1">
      <alignment horizontal="center" vertical="center" wrapText="1"/>
    </xf>
    <xf numFmtId="181" fontId="3" fillId="34" borderId="22" xfId="63" applyNumberFormat="1" applyFont="1" applyFill="1" applyBorder="1" applyAlignment="1">
      <alignment horizontal="center" vertical="center" wrapText="1"/>
    </xf>
    <xf numFmtId="9" fontId="3" fillId="34" borderId="23" xfId="60" applyFont="1" applyFill="1" applyBorder="1" applyAlignment="1">
      <alignment horizontal="center" vertical="center" wrapText="1"/>
    </xf>
    <xf numFmtId="2" fontId="3" fillId="34" borderId="23" xfId="0" applyNumberFormat="1" applyFont="1" applyFill="1" applyBorder="1" applyAlignment="1">
      <alignment horizontal="center" vertical="center" wrapText="1"/>
    </xf>
    <xf numFmtId="171" fontId="3" fillId="34" borderId="22" xfId="63" applyFont="1" applyFill="1" applyBorder="1" applyAlignment="1">
      <alignment horizontal="center" vertical="center" wrapText="1"/>
    </xf>
    <xf numFmtId="171" fontId="3" fillId="34" borderId="21" xfId="63" applyFont="1" applyFill="1" applyBorder="1" applyAlignment="1">
      <alignment horizontal="center" vertical="center" wrapText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24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/>
    </xf>
    <xf numFmtId="3" fontId="9" fillId="0" borderId="0" xfId="63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9" fillId="0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/>
    </xf>
    <xf numFmtId="4" fontId="9" fillId="0" borderId="0" xfId="63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2" fontId="3" fillId="37" borderId="11" xfId="0" applyNumberFormat="1" applyFont="1" applyFill="1" applyBorder="1" applyAlignment="1">
      <alignment horizontal="center" vertical="center" wrapText="1"/>
    </xf>
    <xf numFmtId="1" fontId="3" fillId="37" borderId="12" xfId="0" applyNumberFormat="1" applyFont="1" applyFill="1" applyBorder="1" applyAlignment="1">
      <alignment horizontal="center" vertical="center" wrapText="1"/>
    </xf>
    <xf numFmtId="9" fontId="3" fillId="37" borderId="12" xfId="60" applyFont="1" applyFill="1" applyBorder="1" applyAlignment="1">
      <alignment horizontal="center" vertical="center" wrapText="1"/>
    </xf>
    <xf numFmtId="9" fontId="3" fillId="37" borderId="11" xfId="60" applyFont="1" applyFill="1" applyBorder="1" applyAlignment="1">
      <alignment horizontal="center" vertical="center" wrapText="1"/>
    </xf>
    <xf numFmtId="2" fontId="3" fillId="37" borderId="12" xfId="0" applyNumberFormat="1" applyFont="1" applyFill="1" applyBorder="1" applyAlignment="1">
      <alignment horizontal="center" vertical="center" wrapText="1"/>
    </xf>
    <xf numFmtId="2" fontId="3" fillId="37" borderId="13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 applyProtection="1">
      <alignment horizontal="center" vertical="center" wrapText="1"/>
      <protection hidden="1"/>
    </xf>
    <xf numFmtId="0" fontId="3" fillId="37" borderId="27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3" fillId="37" borderId="28" xfId="0" applyFont="1" applyFill="1" applyBorder="1" applyAlignment="1">
      <alignment horizontal="center" vertical="center" wrapText="1"/>
    </xf>
    <xf numFmtId="2" fontId="3" fillId="37" borderId="28" xfId="0" applyNumberFormat="1" applyFont="1" applyFill="1" applyBorder="1" applyAlignment="1">
      <alignment horizontal="center" vertical="center" wrapText="1"/>
    </xf>
    <xf numFmtId="1" fontId="3" fillId="37" borderId="28" xfId="0" applyNumberFormat="1" applyFont="1" applyFill="1" applyBorder="1" applyAlignment="1">
      <alignment horizontal="center" vertical="center" wrapText="1"/>
    </xf>
    <xf numFmtId="9" fontId="3" fillId="37" borderId="28" xfId="60" applyFont="1" applyFill="1" applyBorder="1" applyAlignment="1">
      <alignment horizontal="center" vertical="center" wrapText="1"/>
    </xf>
    <xf numFmtId="2" fontId="4" fillId="37" borderId="28" xfId="35" applyNumberFormat="1" applyFont="1" applyFill="1" applyBorder="1" applyAlignment="1">
      <alignment horizontal="center" vertical="center" wrapText="1"/>
      <protection/>
    </xf>
    <xf numFmtId="0" fontId="0" fillId="37" borderId="28" xfId="0" applyFill="1" applyBorder="1" applyAlignment="1" applyProtection="1">
      <alignment/>
      <protection hidden="1"/>
    </xf>
    <xf numFmtId="0" fontId="0" fillId="37" borderId="29" xfId="0" applyFill="1" applyBorder="1" applyAlignment="1" applyProtection="1">
      <alignment/>
      <protection hidden="1"/>
    </xf>
    <xf numFmtId="0" fontId="0" fillId="37" borderId="1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86" fontId="2" fillId="0" borderId="1" xfId="63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6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63" applyNumberFormat="1" applyFont="1" applyFill="1" applyBorder="1" applyAlignment="1">
      <alignment horizontal="center" vertical="center"/>
    </xf>
    <xf numFmtId="187" fontId="2" fillId="0" borderId="1" xfId="63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 horizontal="center" vertical="center"/>
    </xf>
    <xf numFmtId="3" fontId="2" fillId="0" borderId="28" xfId="63" applyNumberFormat="1" applyFont="1" applyFill="1" applyBorder="1" applyAlignment="1">
      <alignment horizontal="center" vertical="center"/>
    </xf>
    <xf numFmtId="4" fontId="2" fillId="0" borderId="28" xfId="63" applyNumberFormat="1" applyFont="1" applyFill="1" applyBorder="1" applyAlignment="1">
      <alignment horizontal="center" vertical="center"/>
    </xf>
    <xf numFmtId="186" fontId="2" fillId="0" borderId="28" xfId="6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63" applyNumberFormat="1" applyFont="1" applyFill="1" applyBorder="1" applyAlignment="1">
      <alignment horizontal="center" vertical="center"/>
    </xf>
    <xf numFmtId="3" fontId="2" fillId="0" borderId="1" xfId="63" applyNumberFormat="1" applyFont="1" applyFill="1" applyBorder="1" applyAlignment="1">
      <alignment horizontal="center"/>
    </xf>
    <xf numFmtId="4" fontId="2" fillId="0" borderId="1" xfId="63" applyNumberFormat="1" applyFont="1" applyFill="1" applyBorder="1" applyAlignment="1">
      <alignment horizontal="center"/>
    </xf>
    <xf numFmtId="4" fontId="2" fillId="0" borderId="1" xfId="63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/>
    </xf>
    <xf numFmtId="187" fontId="2" fillId="0" borderId="1" xfId="63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0" borderId="1" xfId="34" applyNumberFormat="1" applyFont="1" applyFill="1" applyBorder="1" applyAlignment="1" applyProtection="1">
      <alignment horizontal="center" vertical="center"/>
      <protection/>
    </xf>
    <xf numFmtId="3" fontId="2" fillId="0" borderId="1" xfId="63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86" fontId="2" fillId="0" borderId="1" xfId="63" applyNumberFormat="1" applyFont="1" applyFill="1" applyBorder="1" applyAlignment="1">
      <alignment horizontal="center"/>
    </xf>
    <xf numFmtId="4" fontId="2" fillId="0" borderId="1" xfId="63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187" fontId="2" fillId="0" borderId="1" xfId="63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2" fillId="0" borderId="28" xfId="63" applyNumberFormat="1" applyFont="1" applyFill="1" applyBorder="1" applyAlignment="1">
      <alignment horizontal="center"/>
    </xf>
    <xf numFmtId="186" fontId="2" fillId="0" borderId="28" xfId="63" applyNumberFormat="1" applyFont="1" applyFill="1" applyBorder="1" applyAlignment="1">
      <alignment horizontal="center"/>
    </xf>
    <xf numFmtId="4" fontId="2" fillId="0" borderId="28" xfId="63" applyNumberFormat="1" applyFont="1" applyFill="1" applyBorder="1" applyAlignment="1">
      <alignment horizontal="center"/>
    </xf>
    <xf numFmtId="187" fontId="2" fillId="0" borderId="28" xfId="63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186" fontId="2" fillId="0" borderId="1" xfId="63" applyNumberFormat="1" applyFont="1" applyFill="1" applyBorder="1" applyAlignment="1">
      <alignment horizontal="center"/>
    </xf>
    <xf numFmtId="182" fontId="2" fillId="0" borderId="1" xfId="34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>
      <alignment horizontal="center" vertical="center"/>
    </xf>
    <xf numFmtId="180" fontId="2" fillId="0" borderId="1" xfId="63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3" fontId="2" fillId="0" borderId="28" xfId="63" applyNumberFormat="1" applyFont="1" applyFill="1" applyBorder="1" applyAlignment="1">
      <alignment horizontal="center" vertical="center"/>
    </xf>
    <xf numFmtId="3" fontId="2" fillId="0" borderId="28" xfId="63" applyNumberFormat="1" applyFont="1" applyFill="1" applyBorder="1" applyAlignment="1">
      <alignment horizontal="center"/>
    </xf>
    <xf numFmtId="4" fontId="2" fillId="0" borderId="28" xfId="63" applyNumberFormat="1" applyFont="1" applyFill="1" applyBorder="1" applyAlignment="1">
      <alignment horizontal="center"/>
    </xf>
    <xf numFmtId="4" fontId="2" fillId="0" borderId="28" xfId="63" applyNumberFormat="1" applyFont="1" applyFill="1" applyBorder="1" applyAlignment="1">
      <alignment horizontal="center" vertical="center"/>
    </xf>
    <xf numFmtId="187" fontId="2" fillId="0" borderId="28" xfId="63" applyNumberFormat="1" applyFont="1" applyFill="1" applyBorder="1" applyAlignment="1">
      <alignment horizontal="center"/>
    </xf>
    <xf numFmtId="187" fontId="2" fillId="0" borderId="28" xfId="63" applyNumberFormat="1" applyFont="1" applyFill="1" applyBorder="1" applyAlignment="1">
      <alignment horizontal="center" vertical="center"/>
    </xf>
    <xf numFmtId="186" fontId="2" fillId="0" borderId="28" xfId="63" applyNumberFormat="1" applyFont="1" applyFill="1" applyBorder="1" applyAlignment="1">
      <alignment horizontal="center"/>
    </xf>
    <xf numFmtId="186" fontId="2" fillId="0" borderId="1" xfId="0" applyNumberFormat="1" applyFont="1" applyFill="1" applyBorder="1" applyAlignment="1">
      <alignment horizontal="center"/>
    </xf>
    <xf numFmtId="186" fontId="2" fillId="0" borderId="1" xfId="0" applyNumberFormat="1" applyFont="1" applyFill="1" applyBorder="1" applyAlignment="1">
      <alignment/>
    </xf>
    <xf numFmtId="0" fontId="2" fillId="0" borderId="30" xfId="0" applyFont="1" applyFill="1" applyBorder="1" applyAlignment="1" applyProtection="1">
      <alignment horizontal="center" wrapText="1"/>
      <protection hidden="1"/>
    </xf>
    <xf numFmtId="0" fontId="12" fillId="0" borderId="17" xfId="0" applyFont="1" applyFill="1" applyBorder="1" applyAlignment="1" applyProtection="1">
      <alignment horizontal="center" wrapText="1"/>
      <protection hidden="1"/>
    </xf>
    <xf numFmtId="0" fontId="12" fillId="0" borderId="16" xfId="0" applyFont="1" applyFill="1" applyBorder="1" applyAlignment="1" applyProtection="1">
      <alignment horizontal="center" wrapText="1"/>
      <protection hidden="1"/>
    </xf>
    <xf numFmtId="180" fontId="12" fillId="0" borderId="16" xfId="63" applyNumberFormat="1" applyFont="1" applyFill="1" applyBorder="1" applyAlignment="1" applyProtection="1">
      <alignment horizontal="center" wrapText="1"/>
      <protection hidden="1"/>
    </xf>
    <xf numFmtId="171" fontId="12" fillId="0" borderId="16" xfId="63" applyFont="1" applyFill="1" applyBorder="1" applyAlignment="1" applyProtection="1">
      <alignment horizontal="center" wrapText="1"/>
      <protection hidden="1"/>
    </xf>
    <xf numFmtId="171" fontId="12" fillId="0" borderId="30" xfId="63" applyFont="1" applyFill="1" applyBorder="1" applyAlignment="1" applyProtection="1">
      <alignment horizontal="center" wrapText="1"/>
      <protection hidden="1"/>
    </xf>
    <xf numFmtId="181" fontId="12" fillId="0" borderId="16" xfId="63" applyNumberFormat="1" applyFont="1" applyFill="1" applyBorder="1" applyAlignment="1" applyProtection="1">
      <alignment horizontal="center" wrapText="1"/>
      <protection hidden="1"/>
    </xf>
    <xf numFmtId="180" fontId="12" fillId="0" borderId="30" xfId="63" applyNumberFormat="1" applyFont="1" applyFill="1" applyBorder="1" applyAlignment="1" applyProtection="1">
      <alignment horizontal="center" wrapText="1"/>
      <protection hidden="1"/>
    </xf>
    <xf numFmtId="171" fontId="12" fillId="0" borderId="31" xfId="63" applyFont="1" applyFill="1" applyBorder="1" applyAlignment="1" applyProtection="1">
      <alignment horizontal="center" wrapText="1"/>
      <protection hidden="1"/>
    </xf>
    <xf numFmtId="0" fontId="12" fillId="0" borderId="16" xfId="0" applyFont="1" applyFill="1" applyBorder="1" applyAlignment="1" applyProtection="1">
      <alignment horizontal="center" wrapText="1"/>
      <protection hidden="1"/>
    </xf>
    <xf numFmtId="0" fontId="12" fillId="0" borderId="32" xfId="0" applyFont="1" applyFill="1" applyBorder="1" applyAlignment="1" applyProtection="1">
      <alignment horizontal="center" wrapText="1"/>
      <protection hidden="1"/>
    </xf>
    <xf numFmtId="0" fontId="12" fillId="0" borderId="30" xfId="0" applyFont="1" applyFill="1" applyBorder="1" applyAlignment="1" applyProtection="1">
      <alignment horizontal="center" wrapText="1"/>
      <protection hidden="1"/>
    </xf>
    <xf numFmtId="181" fontId="12" fillId="0" borderId="30" xfId="63" applyNumberFormat="1" applyFont="1" applyFill="1" applyBorder="1" applyAlignment="1" applyProtection="1">
      <alignment horizontal="center" wrapText="1"/>
      <protection hidden="1"/>
    </xf>
    <xf numFmtId="171" fontId="12" fillId="0" borderId="33" xfId="63" applyFont="1" applyFill="1" applyBorder="1" applyAlignment="1" applyProtection="1">
      <alignment horizontal="center" wrapText="1"/>
      <protection hidden="1"/>
    </xf>
    <xf numFmtId="49" fontId="12" fillId="0" borderId="30" xfId="0" applyNumberFormat="1" applyFont="1" applyFill="1" applyBorder="1" applyAlignment="1" applyProtection="1">
      <alignment horizontal="center" wrapText="1"/>
      <protection hidden="1"/>
    </xf>
    <xf numFmtId="180" fontId="2" fillId="0" borderId="30" xfId="63" applyNumberFormat="1" applyFont="1" applyFill="1" applyBorder="1" applyAlignment="1" applyProtection="1">
      <alignment horizontal="center" wrapText="1"/>
      <protection hidden="1"/>
    </xf>
    <xf numFmtId="171" fontId="2" fillId="0" borderId="30" xfId="63" applyFont="1" applyFill="1" applyBorder="1" applyAlignment="1" applyProtection="1">
      <alignment horizontal="center" wrapText="1"/>
      <protection hidden="1"/>
    </xf>
    <xf numFmtId="180" fontId="2" fillId="0" borderId="30" xfId="63" applyNumberFormat="1" applyFont="1" applyFill="1" applyBorder="1" applyAlignment="1" applyProtection="1" quotePrefix="1">
      <alignment horizontal="center" wrapText="1"/>
      <protection hidden="1"/>
    </xf>
    <xf numFmtId="181" fontId="2" fillId="0" borderId="30" xfId="63" applyNumberFormat="1" applyFont="1" applyFill="1" applyBorder="1" applyAlignment="1" applyProtection="1">
      <alignment horizontal="center" wrapText="1"/>
      <protection hidden="1"/>
    </xf>
    <xf numFmtId="0" fontId="2" fillId="0" borderId="30" xfId="0" applyFont="1" applyFill="1" applyBorder="1" applyAlignment="1" applyProtection="1">
      <alignment horizontal="right" wrapText="1"/>
      <protection hidden="1"/>
    </xf>
    <xf numFmtId="181" fontId="2" fillId="0" borderId="30" xfId="63" applyNumberFormat="1" applyFont="1" applyFill="1" applyBorder="1" applyAlignment="1" applyProtection="1" quotePrefix="1">
      <alignment horizontal="center" wrapText="1"/>
      <protection hidden="1"/>
    </xf>
    <xf numFmtId="188" fontId="2" fillId="0" borderId="1" xfId="6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1" xfId="63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63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186" fontId="2" fillId="0" borderId="1" xfId="6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87" fontId="2" fillId="0" borderId="1" xfId="63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86" fontId="2" fillId="0" borderId="1" xfId="63" applyNumberFormat="1" applyFont="1" applyFill="1" applyBorder="1" applyAlignment="1">
      <alignment horizontal="center" vertical="center"/>
    </xf>
    <xf numFmtId="187" fontId="2" fillId="0" borderId="1" xfId="63" applyNumberFormat="1" applyFont="1" applyFill="1" applyBorder="1" applyAlignment="1">
      <alignment horizontal="center" vertical="center"/>
    </xf>
    <xf numFmtId="186" fontId="2" fillId="0" borderId="28" xfId="63" applyNumberFormat="1" applyFont="1" applyFill="1" applyBorder="1" applyAlignment="1">
      <alignment horizontal="center" vertical="center"/>
    </xf>
    <xf numFmtId="18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4" fontId="2" fillId="0" borderId="1" xfId="63" applyNumberFormat="1" applyFont="1" applyFill="1" applyBorder="1" applyAlignment="1">
      <alignment horizontal="center" wrapText="1"/>
    </xf>
    <xf numFmtId="3" fontId="2" fillId="0" borderId="1" xfId="63" applyNumberFormat="1" applyFont="1" applyFill="1" applyBorder="1" applyAlignment="1">
      <alignment horizontal="center" wrapText="1"/>
    </xf>
    <xf numFmtId="186" fontId="2" fillId="0" borderId="1" xfId="63" applyNumberFormat="1" applyFont="1" applyFill="1" applyBorder="1" applyAlignment="1">
      <alignment horizontal="center" wrapText="1"/>
    </xf>
    <xf numFmtId="3" fontId="2" fillId="0" borderId="28" xfId="0" applyNumberFormat="1" applyFont="1" applyFill="1" applyBorder="1" applyAlignment="1">
      <alignment horizontal="center" wrapText="1"/>
    </xf>
    <xf numFmtId="187" fontId="2" fillId="0" borderId="1" xfId="63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63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86" fontId="2" fillId="0" borderId="1" xfId="63" applyNumberFormat="1" applyFont="1" applyFill="1" applyBorder="1" applyAlignment="1">
      <alignment horizontal="center" vertical="center" wrapText="1"/>
    </xf>
    <xf numFmtId="4" fontId="2" fillId="0" borderId="1" xfId="63" applyNumberFormat="1" applyFont="1" applyFill="1" applyBorder="1" applyAlignment="1">
      <alignment horizontal="center" vertical="center" wrapText="1"/>
    </xf>
    <xf numFmtId="187" fontId="2" fillId="0" borderId="1" xfId="63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80" fontId="2" fillId="0" borderId="3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0" fontId="0" fillId="0" borderId="0" xfId="63" applyNumberFormat="1" applyFont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Border="1" applyAlignment="1">
      <alignment/>
    </xf>
    <xf numFmtId="180" fontId="12" fillId="0" borderId="30" xfId="63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 vertical="center" wrapText="1"/>
    </xf>
    <xf numFmtId="3" fontId="2" fillId="0" borderId="28" xfId="63" applyNumberFormat="1" applyFont="1" applyFill="1" applyBorder="1" applyAlignment="1">
      <alignment horizontal="center" vertical="center" wrapText="1"/>
    </xf>
    <xf numFmtId="3" fontId="2" fillId="0" borderId="35" xfId="63" applyNumberFormat="1" applyFont="1" applyFill="1" applyBorder="1" applyAlignment="1">
      <alignment horizontal="center" vertical="center" wrapText="1"/>
    </xf>
    <xf numFmtId="3" fontId="2" fillId="0" borderId="36" xfId="63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28" xfId="63" applyNumberFormat="1" applyFont="1" applyFill="1" applyBorder="1" applyAlignment="1">
      <alignment horizontal="center" vertical="center" wrapText="1"/>
    </xf>
    <xf numFmtId="4" fontId="2" fillId="0" borderId="35" xfId="63" applyNumberFormat="1" applyFont="1" applyFill="1" applyBorder="1" applyAlignment="1">
      <alignment horizontal="center" vertical="center" wrapText="1"/>
    </xf>
    <xf numFmtId="4" fontId="2" fillId="0" borderId="36" xfId="63" applyNumberFormat="1" applyFont="1" applyFill="1" applyBorder="1" applyAlignment="1">
      <alignment horizontal="center" vertical="center" wrapText="1"/>
    </xf>
    <xf numFmtId="3" fontId="2" fillId="0" borderId="28" xfId="63" applyNumberFormat="1" applyFont="1" applyFill="1" applyBorder="1" applyAlignment="1">
      <alignment horizontal="center" vertical="center"/>
    </xf>
    <xf numFmtId="3" fontId="2" fillId="0" borderId="35" xfId="63" applyNumberFormat="1" applyFont="1" applyFill="1" applyBorder="1" applyAlignment="1">
      <alignment horizontal="center" vertical="center"/>
    </xf>
    <xf numFmtId="3" fontId="2" fillId="0" borderId="36" xfId="63" applyNumberFormat="1" applyFont="1" applyFill="1" applyBorder="1" applyAlignment="1">
      <alignment horizontal="center" vertical="center"/>
    </xf>
    <xf numFmtId="3" fontId="2" fillId="0" borderId="28" xfId="63" applyNumberFormat="1" applyFont="1" applyFill="1" applyBorder="1" applyAlignment="1">
      <alignment horizontal="center" vertical="center"/>
    </xf>
    <xf numFmtId="3" fontId="2" fillId="0" borderId="35" xfId="63" applyNumberFormat="1" applyFont="1" applyFill="1" applyBorder="1" applyAlignment="1">
      <alignment horizontal="center" vertical="center"/>
    </xf>
    <xf numFmtId="3" fontId="2" fillId="0" borderId="36" xfId="63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4" fontId="2" fillId="0" borderId="28" xfId="63" applyNumberFormat="1" applyFont="1" applyFill="1" applyBorder="1" applyAlignment="1">
      <alignment horizontal="center" vertical="center"/>
    </xf>
    <xf numFmtId="4" fontId="2" fillId="0" borderId="35" xfId="63" applyNumberFormat="1" applyFont="1" applyFill="1" applyBorder="1" applyAlignment="1">
      <alignment horizontal="center" vertical="center"/>
    </xf>
    <xf numFmtId="4" fontId="2" fillId="0" borderId="36" xfId="63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4" fontId="2" fillId="0" borderId="28" xfId="63" applyNumberFormat="1" applyFont="1" applyFill="1" applyBorder="1" applyAlignment="1">
      <alignment horizontal="center" vertical="center"/>
    </xf>
    <xf numFmtId="4" fontId="2" fillId="0" borderId="35" xfId="63" applyNumberFormat="1" applyFont="1" applyFill="1" applyBorder="1" applyAlignment="1">
      <alignment horizontal="center" vertical="center"/>
    </xf>
    <xf numFmtId="4" fontId="2" fillId="0" borderId="36" xfId="63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186" fontId="2" fillId="0" borderId="28" xfId="63" applyNumberFormat="1" applyFont="1" applyFill="1" applyBorder="1" applyAlignment="1">
      <alignment horizontal="center" vertical="center"/>
    </xf>
    <xf numFmtId="186" fontId="2" fillId="0" borderId="36" xfId="63" applyNumberFormat="1" applyFont="1" applyFill="1" applyBorder="1" applyAlignment="1">
      <alignment horizontal="center" vertical="center"/>
    </xf>
    <xf numFmtId="186" fontId="2" fillId="0" borderId="35" xfId="63" applyNumberFormat="1" applyFont="1" applyFill="1" applyBorder="1" applyAlignment="1">
      <alignment horizontal="center" vertical="center"/>
    </xf>
    <xf numFmtId="186" fontId="2" fillId="0" borderId="28" xfId="63" applyNumberFormat="1" applyFont="1" applyFill="1" applyBorder="1" applyAlignment="1">
      <alignment horizontal="center" vertical="center" wrapText="1"/>
    </xf>
    <xf numFmtId="186" fontId="2" fillId="0" borderId="35" xfId="63" applyNumberFormat="1" applyFont="1" applyFill="1" applyBorder="1" applyAlignment="1">
      <alignment horizontal="center" vertical="center" wrapText="1"/>
    </xf>
    <xf numFmtId="186" fontId="2" fillId="0" borderId="36" xfId="63" applyNumberFormat="1" applyFont="1" applyFill="1" applyBorder="1" applyAlignment="1">
      <alignment horizontal="center" vertical="center" wrapText="1"/>
    </xf>
    <xf numFmtId="186" fontId="2" fillId="0" borderId="28" xfId="0" applyNumberFormat="1" applyFont="1" applyFill="1" applyBorder="1" applyAlignment="1">
      <alignment horizontal="center" vertical="center" wrapText="1"/>
    </xf>
    <xf numFmtId="186" fontId="2" fillId="0" borderId="36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35" xfId="0" applyNumberFormat="1" applyFont="1" applyFill="1" applyBorder="1" applyAlignment="1">
      <alignment horizontal="center" vertical="center" wrapText="1"/>
    </xf>
    <xf numFmtId="9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186" fontId="2" fillId="0" borderId="28" xfId="63" applyNumberFormat="1" applyFont="1" applyFill="1" applyBorder="1" applyAlignment="1">
      <alignment horizontal="center" vertical="center"/>
    </xf>
    <xf numFmtId="186" fontId="2" fillId="0" borderId="35" xfId="63" applyNumberFormat="1" applyFont="1" applyFill="1" applyBorder="1" applyAlignment="1">
      <alignment horizontal="center" vertical="center"/>
    </xf>
    <xf numFmtId="186" fontId="2" fillId="0" borderId="36" xfId="63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3" fontId="0" fillId="0" borderId="35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lsAltData" xfId="33"/>
    <cellStyle name="clsData" xfId="34"/>
    <cellStyle name="Normal_Indicators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" sqref="E4"/>
    </sheetView>
  </sheetViews>
  <sheetFormatPr defaultColWidth="9.140625" defaultRowHeight="12.75"/>
  <cols>
    <col min="1" max="1" width="8.00390625" style="77" customWidth="1"/>
    <col min="2" max="2" width="33.00390625" style="0" customWidth="1"/>
    <col min="3" max="3" width="10.57421875" style="0" customWidth="1"/>
    <col min="4" max="4" width="9.57421875" style="39" customWidth="1"/>
    <col min="5" max="5" width="18.28125" style="0" customWidth="1"/>
    <col min="6" max="6" width="9.57421875" style="0" customWidth="1"/>
    <col min="7" max="7" width="7.140625" style="0" customWidth="1"/>
    <col min="8" max="8" width="17.00390625" style="0" customWidth="1"/>
    <col min="9" max="9" width="7.7109375" style="0" customWidth="1"/>
    <col min="10" max="10" width="7.8515625" style="0" customWidth="1"/>
    <col min="11" max="11" width="5.28125" style="0" customWidth="1"/>
    <col min="12" max="12" width="5.421875" style="0" customWidth="1"/>
    <col min="13" max="13" width="9.57421875" style="0" customWidth="1"/>
    <col min="14" max="14" width="6.28125" style="0" customWidth="1"/>
    <col min="15" max="15" width="6.57421875" style="0" customWidth="1"/>
    <col min="16" max="16" width="10.57421875" style="0" customWidth="1"/>
    <col min="17" max="17" width="7.28125" style="0" customWidth="1"/>
    <col min="18" max="18" width="7.57421875" style="0" customWidth="1"/>
    <col min="19" max="20" width="10.8515625" style="0" customWidth="1"/>
    <col min="21" max="21" width="10.7109375" style="0" customWidth="1"/>
    <col min="22" max="22" width="11.00390625" style="0" customWidth="1"/>
    <col min="23" max="23" width="13.57421875" style="0" customWidth="1"/>
    <col min="24" max="24" width="7.28125" style="0" customWidth="1"/>
    <col min="25" max="25" width="10.28125" style="0" customWidth="1"/>
    <col min="26" max="26" width="7.7109375" style="0" customWidth="1"/>
    <col min="27" max="27" width="7.00390625" style="0" customWidth="1"/>
    <col min="28" max="28" width="7.57421875" style="0" customWidth="1"/>
    <col min="29" max="29" width="7.140625" style="0" customWidth="1"/>
    <col min="30" max="30" width="7.57421875" style="0" customWidth="1"/>
    <col min="31" max="31" width="13.7109375" style="0" customWidth="1"/>
    <col min="32" max="32" width="10.8515625" style="0" customWidth="1"/>
    <col min="33" max="33" width="11.00390625" style="0" customWidth="1"/>
    <col min="34" max="35" width="11.28125" style="0" customWidth="1"/>
    <col min="36" max="36" width="15.8515625" style="0" customWidth="1"/>
    <col min="37" max="37" width="11.28125" style="0" customWidth="1"/>
    <col min="38" max="38" width="11.140625" style="80" customWidth="1"/>
    <col min="39" max="39" width="11.7109375" style="0" customWidth="1"/>
    <col min="40" max="40" width="13.421875" style="0" customWidth="1"/>
    <col min="41" max="41" width="13.57421875" style="0" customWidth="1"/>
    <col min="42" max="42" width="10.140625" style="0" customWidth="1"/>
    <col min="43" max="43" width="11.421875" style="0" customWidth="1"/>
    <col min="44" max="44" width="15.421875" style="0" customWidth="1"/>
    <col min="45" max="45" width="11.140625" style="0" customWidth="1"/>
    <col min="46" max="46" width="11.57421875" style="0" customWidth="1"/>
    <col min="47" max="47" width="11.140625" style="0" customWidth="1"/>
    <col min="48" max="49" width="10.57421875" style="0" customWidth="1"/>
    <col min="50" max="50" width="12.7109375" style="0" customWidth="1"/>
    <col min="51" max="51" width="10.7109375" style="0" customWidth="1"/>
    <col min="52" max="52" width="13.421875" style="0" customWidth="1"/>
    <col min="53" max="53" width="12.28125" style="39" customWidth="1"/>
    <col min="54" max="54" width="11.57421875" style="0" customWidth="1"/>
    <col min="55" max="55" width="12.00390625" style="0" customWidth="1"/>
    <col min="56" max="56" width="13.8515625" style="0" customWidth="1"/>
    <col min="57" max="57" width="10.28125" style="0" customWidth="1"/>
    <col min="58" max="58" width="14.140625" style="0" customWidth="1"/>
    <col min="59" max="59" width="12.28125" style="0" customWidth="1"/>
    <col min="60" max="60" width="14.8515625" style="0" customWidth="1"/>
    <col min="61" max="61" width="7.57421875" style="10" customWidth="1"/>
    <col min="62" max="16384" width="9.140625" style="10" customWidth="1"/>
  </cols>
  <sheetData>
    <row r="1" spans="1:61" ht="15" customHeight="1">
      <c r="A1" s="222"/>
      <c r="B1" s="313" t="s">
        <v>334</v>
      </c>
      <c r="C1" s="313"/>
      <c r="D1" s="313"/>
      <c r="E1" s="313"/>
      <c r="F1" s="313"/>
      <c r="G1" s="313"/>
      <c r="H1" s="313"/>
      <c r="I1" s="313"/>
      <c r="J1" s="229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5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4"/>
      <c r="BB1" s="223"/>
      <c r="BC1" s="223"/>
      <c r="BD1" s="223"/>
      <c r="BE1" s="223"/>
      <c r="BF1" s="223"/>
      <c r="BG1" s="223"/>
      <c r="BH1" s="223"/>
      <c r="BI1" s="226"/>
    </row>
    <row r="2" spans="1:61" ht="15" customHeight="1">
      <c r="A2" s="222"/>
      <c r="B2" s="313"/>
      <c r="C2" s="313"/>
      <c r="D2" s="313"/>
      <c r="E2" s="313"/>
      <c r="F2" s="313"/>
      <c r="G2" s="313"/>
      <c r="H2" s="313"/>
      <c r="I2" s="313"/>
      <c r="J2" s="229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5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4"/>
      <c r="BB2" s="223"/>
      <c r="BC2" s="223"/>
      <c r="BD2" s="223"/>
      <c r="BE2" s="223"/>
      <c r="BF2" s="223"/>
      <c r="BG2" s="223"/>
      <c r="BH2" s="223"/>
      <c r="BI2" s="226"/>
    </row>
    <row r="3" spans="1:61" ht="2.25" customHeight="1" thickBot="1">
      <c r="A3" s="222"/>
      <c r="B3" s="223"/>
      <c r="C3" s="223"/>
      <c r="D3" s="224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5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4"/>
      <c r="BB3" s="223"/>
      <c r="BC3" s="223"/>
      <c r="BD3" s="223"/>
      <c r="BE3" s="223"/>
      <c r="BF3" s="223"/>
      <c r="BG3" s="223"/>
      <c r="BH3" s="223"/>
      <c r="BI3" s="226"/>
    </row>
    <row r="4" spans="1:61" s="52" customFormat="1" ht="69" customHeight="1" thickBot="1">
      <c r="A4" s="167" t="s">
        <v>0</v>
      </c>
      <c r="B4" s="168" t="s">
        <v>153</v>
      </c>
      <c r="C4" s="168" t="s">
        <v>154</v>
      </c>
      <c r="D4" s="169" t="s">
        <v>330</v>
      </c>
      <c r="E4" s="168" t="s">
        <v>332</v>
      </c>
      <c r="F4" s="169" t="s">
        <v>199</v>
      </c>
      <c r="G4" s="168" t="s">
        <v>157</v>
      </c>
      <c r="H4" s="168" t="s">
        <v>344</v>
      </c>
      <c r="I4" s="169" t="s">
        <v>326</v>
      </c>
      <c r="J4" s="169" t="s">
        <v>327</v>
      </c>
      <c r="K4" s="169" t="s">
        <v>328</v>
      </c>
      <c r="L4" s="172" t="s">
        <v>200</v>
      </c>
      <c r="M4" s="172" t="s">
        <v>343</v>
      </c>
      <c r="N4" s="169" t="s">
        <v>159</v>
      </c>
      <c r="O4" s="170" t="s">
        <v>179</v>
      </c>
      <c r="P4" s="170" t="s">
        <v>180</v>
      </c>
      <c r="Q4" s="170" t="s">
        <v>181</v>
      </c>
      <c r="R4" s="170" t="s">
        <v>321</v>
      </c>
      <c r="S4" s="170" t="s">
        <v>323</v>
      </c>
      <c r="T4" s="170" t="s">
        <v>322</v>
      </c>
      <c r="U4" s="170" t="s">
        <v>324</v>
      </c>
      <c r="V4" s="170" t="s">
        <v>325</v>
      </c>
      <c r="W4" s="170" t="s">
        <v>342</v>
      </c>
      <c r="X4" s="168" t="s">
        <v>161</v>
      </c>
      <c r="Y4" s="169" t="s">
        <v>336</v>
      </c>
      <c r="Z4" s="172" t="s">
        <v>317</v>
      </c>
      <c r="AA4" s="169" t="s">
        <v>162</v>
      </c>
      <c r="AB4" s="172" t="s">
        <v>163</v>
      </c>
      <c r="AC4" s="172" t="s">
        <v>319</v>
      </c>
      <c r="AD4" s="172" t="s">
        <v>320</v>
      </c>
      <c r="AE4" s="172" t="s">
        <v>337</v>
      </c>
      <c r="AF4" s="172" t="s">
        <v>201</v>
      </c>
      <c r="AG4" s="172" t="s">
        <v>202</v>
      </c>
      <c r="AH4" s="169" t="s">
        <v>203</v>
      </c>
      <c r="AI4" s="169" t="s">
        <v>314</v>
      </c>
      <c r="AJ4" s="169" t="s">
        <v>338</v>
      </c>
      <c r="AK4" s="169" t="s">
        <v>170</v>
      </c>
      <c r="AL4" s="169" t="s">
        <v>171</v>
      </c>
      <c r="AM4" s="169" t="s">
        <v>311</v>
      </c>
      <c r="AN4" s="173" t="s">
        <v>329</v>
      </c>
      <c r="AO4" s="169" t="s">
        <v>313</v>
      </c>
      <c r="AP4" s="169" t="s">
        <v>172</v>
      </c>
      <c r="AQ4" s="169" t="s">
        <v>339</v>
      </c>
      <c r="AR4" s="169" t="s">
        <v>340</v>
      </c>
      <c r="AS4" s="169" t="s">
        <v>173</v>
      </c>
      <c r="AT4" s="169" t="s">
        <v>174</v>
      </c>
      <c r="AU4" s="169" t="s">
        <v>175</v>
      </c>
      <c r="AV4" s="169" t="s">
        <v>176</v>
      </c>
      <c r="AW4" s="169" t="s">
        <v>192</v>
      </c>
      <c r="AX4" s="169" t="s">
        <v>177</v>
      </c>
      <c r="AY4" s="169" t="s">
        <v>178</v>
      </c>
      <c r="AZ4" s="169" t="s">
        <v>208</v>
      </c>
      <c r="BA4" s="169" t="s">
        <v>164</v>
      </c>
      <c r="BB4" s="169" t="s">
        <v>165</v>
      </c>
      <c r="BC4" s="173" t="s">
        <v>166</v>
      </c>
      <c r="BD4" s="173" t="s">
        <v>316</v>
      </c>
      <c r="BE4" s="169" t="s">
        <v>167</v>
      </c>
      <c r="BF4" s="169" t="s">
        <v>168</v>
      </c>
      <c r="BG4" s="168" t="s">
        <v>312</v>
      </c>
      <c r="BH4" s="174" t="s">
        <v>341</v>
      </c>
      <c r="BI4" s="175" t="s">
        <v>196</v>
      </c>
    </row>
    <row r="5" spans="1:61" s="52" customFormat="1" ht="13.5" customHeight="1" thickBot="1">
      <c r="A5" s="176"/>
      <c r="B5" s="177" t="s">
        <v>289</v>
      </c>
      <c r="C5" s="177" t="s">
        <v>6</v>
      </c>
      <c r="D5" s="177">
        <v>30</v>
      </c>
      <c r="E5" s="177">
        <v>34</v>
      </c>
      <c r="F5" s="177">
        <v>36</v>
      </c>
      <c r="G5" s="177">
        <v>3</v>
      </c>
      <c r="H5" s="177" t="s">
        <v>7</v>
      </c>
      <c r="I5" s="227">
        <v>40</v>
      </c>
      <c r="J5" s="173" t="s">
        <v>8</v>
      </c>
      <c r="K5" s="173" t="s">
        <v>9</v>
      </c>
      <c r="L5" s="177">
        <v>41</v>
      </c>
      <c r="M5" s="177">
        <v>53</v>
      </c>
      <c r="N5" s="177">
        <v>54</v>
      </c>
      <c r="O5" s="177">
        <v>55</v>
      </c>
      <c r="P5" s="177">
        <v>58</v>
      </c>
      <c r="Q5" s="177">
        <v>59</v>
      </c>
      <c r="R5" s="171" t="s">
        <v>10</v>
      </c>
      <c r="S5" s="171" t="s">
        <v>11</v>
      </c>
      <c r="T5" s="171" t="s">
        <v>12</v>
      </c>
      <c r="U5" s="171" t="s">
        <v>13</v>
      </c>
      <c r="V5" s="171" t="s">
        <v>14</v>
      </c>
      <c r="W5" s="171" t="s">
        <v>15</v>
      </c>
      <c r="X5" s="177">
        <v>60</v>
      </c>
      <c r="Y5" s="177">
        <v>70</v>
      </c>
      <c r="Z5" s="177">
        <v>71</v>
      </c>
      <c r="AA5" s="177">
        <v>74</v>
      </c>
      <c r="AB5" s="177">
        <v>79</v>
      </c>
      <c r="AC5" s="178" t="s">
        <v>16</v>
      </c>
      <c r="AD5" s="178" t="s">
        <v>17</v>
      </c>
      <c r="AE5" s="178" t="s">
        <v>18</v>
      </c>
      <c r="AF5" s="178" t="s">
        <v>19</v>
      </c>
      <c r="AG5" s="178" t="s">
        <v>20</v>
      </c>
      <c r="AH5" s="177">
        <v>90</v>
      </c>
      <c r="AI5" s="173" t="s">
        <v>21</v>
      </c>
      <c r="AJ5" s="173" t="s">
        <v>22</v>
      </c>
      <c r="AK5" s="173" t="s">
        <v>23</v>
      </c>
      <c r="AL5" s="173" t="s">
        <v>24</v>
      </c>
      <c r="AM5" s="173" t="s">
        <v>25</v>
      </c>
      <c r="AN5" s="173" t="s">
        <v>26</v>
      </c>
      <c r="AO5" s="173" t="s">
        <v>27</v>
      </c>
      <c r="AP5" s="173" t="s">
        <v>28</v>
      </c>
      <c r="AQ5" s="173" t="s">
        <v>29</v>
      </c>
      <c r="AR5" s="173" t="s">
        <v>30</v>
      </c>
      <c r="AS5" s="177">
        <v>91</v>
      </c>
      <c r="AT5" s="177">
        <v>94</v>
      </c>
      <c r="AU5" s="173" t="s">
        <v>31</v>
      </c>
      <c r="AV5" s="173" t="s">
        <v>32</v>
      </c>
      <c r="AW5" s="173" t="s">
        <v>193</v>
      </c>
      <c r="AX5" s="177">
        <v>96</v>
      </c>
      <c r="AY5" s="177">
        <v>97</v>
      </c>
      <c r="AZ5" s="177">
        <v>99</v>
      </c>
      <c r="BA5" s="177">
        <v>112</v>
      </c>
      <c r="BB5" s="177" t="s">
        <v>33</v>
      </c>
      <c r="BC5" s="177" t="s">
        <v>34</v>
      </c>
      <c r="BD5" s="177" t="s">
        <v>189</v>
      </c>
      <c r="BE5" s="177">
        <v>114</v>
      </c>
      <c r="BF5" s="177">
        <v>120</v>
      </c>
      <c r="BG5" s="177" t="s">
        <v>35</v>
      </c>
      <c r="BH5" s="179" t="s">
        <v>194</v>
      </c>
      <c r="BI5" s="180" t="s">
        <v>197</v>
      </c>
    </row>
    <row r="6" spans="1:61" s="107" customFormat="1" ht="34.5" customHeight="1" thickBot="1">
      <c r="A6" s="228" t="s">
        <v>331</v>
      </c>
      <c r="B6" s="166"/>
      <c r="C6" s="166"/>
      <c r="D6" s="181" t="s">
        <v>155</v>
      </c>
      <c r="E6" s="166" t="s">
        <v>156</v>
      </c>
      <c r="F6" s="181" t="s">
        <v>333</v>
      </c>
      <c r="G6" s="166"/>
      <c r="H6" s="166"/>
      <c r="I6" s="183" t="str">
        <f>D6</f>
        <v>в тыс чел.</v>
      </c>
      <c r="J6" s="183" t="str">
        <f>I6</f>
        <v>в тыс чел.</v>
      </c>
      <c r="K6" s="183" t="str">
        <f>J6</f>
        <v>в тыс чел.</v>
      </c>
      <c r="L6" s="184" t="s">
        <v>158</v>
      </c>
      <c r="M6" s="184" t="s">
        <v>158</v>
      </c>
      <c r="N6" s="181" t="s">
        <v>160</v>
      </c>
      <c r="O6" s="182" t="s">
        <v>190</v>
      </c>
      <c r="P6" s="182" t="str">
        <f aca="true" t="shared" si="0" ref="P6:W6">O6</f>
        <v>млн. куб. м в год</v>
      </c>
      <c r="Q6" s="182" t="str">
        <f t="shared" si="0"/>
        <v>млн. куб. м в год</v>
      </c>
      <c r="R6" s="182" t="str">
        <f t="shared" si="0"/>
        <v>млн. куб. м в год</v>
      </c>
      <c r="S6" s="182" t="str">
        <f t="shared" si="0"/>
        <v>млн. куб. м в год</v>
      </c>
      <c r="T6" s="182" t="str">
        <f t="shared" si="0"/>
        <v>млн. куб. м в год</v>
      </c>
      <c r="U6" s="182" t="str">
        <f t="shared" si="0"/>
        <v>млн. куб. м в год</v>
      </c>
      <c r="V6" s="182" t="str">
        <f t="shared" si="0"/>
        <v>млн. куб. м в год</v>
      </c>
      <c r="W6" s="182" t="str">
        <f t="shared" si="0"/>
        <v>млн. куб. м в год</v>
      </c>
      <c r="X6" s="185" t="s">
        <v>156</v>
      </c>
      <c r="Y6" s="181" t="s">
        <v>335</v>
      </c>
      <c r="Z6" s="186" t="str">
        <f>L6</f>
        <v>тысяч</v>
      </c>
      <c r="AA6" s="181" t="s">
        <v>160</v>
      </c>
      <c r="AB6" s="184" t="s">
        <v>156</v>
      </c>
      <c r="AC6" s="184" t="str">
        <f>R6</f>
        <v>млн. куб. м в год</v>
      </c>
      <c r="AD6" s="184" t="str">
        <f>AC6</f>
        <v>млн. куб. м в год</v>
      </c>
      <c r="AE6" s="184" t="str">
        <f>AD6</f>
        <v>млн. куб. м в год</v>
      </c>
      <c r="AF6" s="184" t="str">
        <f>AE6</f>
        <v>млн. куб. м в год</v>
      </c>
      <c r="AG6" s="184" t="str">
        <f>AF6</f>
        <v>млн. куб. м в год</v>
      </c>
      <c r="AH6" s="181" t="s">
        <v>195</v>
      </c>
      <c r="AI6" s="181" t="str">
        <f aca="true" t="shared" si="1" ref="AI6:AT6">AH6</f>
        <v>Сумма в нац. валюте (тенге)</v>
      </c>
      <c r="AJ6" s="181" t="str">
        <f t="shared" si="1"/>
        <v>Сумма в нац. валюте (тенге)</v>
      </c>
      <c r="AK6" s="181" t="str">
        <f t="shared" si="1"/>
        <v>Сумма в нац. валюте (тенге)</v>
      </c>
      <c r="AL6" s="181" t="str">
        <f t="shared" si="1"/>
        <v>Сумма в нац. валюте (тенге)</v>
      </c>
      <c r="AM6" s="181" t="str">
        <f t="shared" si="1"/>
        <v>Сумма в нац. валюте (тенге)</v>
      </c>
      <c r="AN6" s="181" t="str">
        <f t="shared" si="1"/>
        <v>Сумма в нац. валюте (тенге)</v>
      </c>
      <c r="AO6" s="181" t="str">
        <f t="shared" si="1"/>
        <v>Сумма в нац. валюте (тенге)</v>
      </c>
      <c r="AP6" s="181" t="str">
        <f t="shared" si="1"/>
        <v>Сумма в нац. валюте (тенге)</v>
      </c>
      <c r="AQ6" s="181" t="str">
        <f t="shared" si="1"/>
        <v>Сумма в нац. валюте (тенге)</v>
      </c>
      <c r="AR6" s="181" t="str">
        <f t="shared" si="1"/>
        <v>Сумма в нац. валюте (тенге)</v>
      </c>
      <c r="AS6" s="181" t="str">
        <f t="shared" si="1"/>
        <v>Сумма в нац. валюте (тенге)</v>
      </c>
      <c r="AT6" s="181" t="str">
        <f t="shared" si="1"/>
        <v>Сумма в нац. валюте (тенге)</v>
      </c>
      <c r="AU6" s="181" t="s">
        <v>191</v>
      </c>
      <c r="AV6" s="181" t="s">
        <v>191</v>
      </c>
      <c r="AW6" s="181" t="s">
        <v>191</v>
      </c>
      <c r="AX6" s="181" t="s">
        <v>191</v>
      </c>
      <c r="AY6" s="181" t="s">
        <v>191</v>
      </c>
      <c r="AZ6" s="181" t="s">
        <v>191</v>
      </c>
      <c r="BA6" s="181" t="s">
        <v>191</v>
      </c>
      <c r="BB6" s="181" t="s">
        <v>191</v>
      </c>
      <c r="BC6" s="181" t="s">
        <v>191</v>
      </c>
      <c r="BD6" s="181" t="s">
        <v>191</v>
      </c>
      <c r="BE6" s="181" t="s">
        <v>191</v>
      </c>
      <c r="BF6" s="181" t="s">
        <v>191</v>
      </c>
      <c r="BG6" s="181" t="s">
        <v>169</v>
      </c>
      <c r="BH6" s="181" t="s">
        <v>188</v>
      </c>
      <c r="BI6" s="221" t="s">
        <v>198</v>
      </c>
    </row>
    <row r="7" spans="1:61" s="108" customFormat="1" ht="15" customHeight="1">
      <c r="A7" s="109">
        <v>2000</v>
      </c>
      <c r="B7" s="276" t="s">
        <v>183</v>
      </c>
      <c r="C7" s="276" t="s">
        <v>182</v>
      </c>
      <c r="D7" s="115">
        <v>381</v>
      </c>
      <c r="E7" s="276">
        <v>1</v>
      </c>
      <c r="F7" s="109">
        <v>827</v>
      </c>
      <c r="G7" s="254" t="s">
        <v>186</v>
      </c>
      <c r="H7" s="276" t="s">
        <v>187</v>
      </c>
      <c r="I7" s="115">
        <v>221.3</v>
      </c>
      <c r="J7" s="115">
        <v>117.2</v>
      </c>
      <c r="K7" s="115">
        <v>37.9</v>
      </c>
      <c r="L7" s="112">
        <v>6.99</v>
      </c>
      <c r="M7" s="187">
        <v>0.129</v>
      </c>
      <c r="N7" s="115">
        <v>492</v>
      </c>
      <c r="O7" s="112">
        <v>50.091</v>
      </c>
      <c r="P7" s="112">
        <v>2.93</v>
      </c>
      <c r="Q7" s="112">
        <v>30.198</v>
      </c>
      <c r="R7" s="112">
        <v>15.22</v>
      </c>
      <c r="S7" s="112">
        <v>14.66</v>
      </c>
      <c r="T7" s="112">
        <v>0.56</v>
      </c>
      <c r="U7" s="112">
        <v>12.88</v>
      </c>
      <c r="V7" s="112">
        <v>2.1</v>
      </c>
      <c r="W7" s="276" t="s">
        <v>185</v>
      </c>
      <c r="X7" s="115">
        <v>878</v>
      </c>
      <c r="Y7" s="115">
        <v>215.3</v>
      </c>
      <c r="Z7" s="112">
        <v>6.39</v>
      </c>
      <c r="AA7" s="117">
        <v>209</v>
      </c>
      <c r="AB7" s="117"/>
      <c r="AC7" s="112">
        <v>20.39</v>
      </c>
      <c r="AD7" s="112">
        <v>14.34</v>
      </c>
      <c r="AE7" s="112">
        <v>6.05</v>
      </c>
      <c r="AF7" s="112">
        <v>20.39</v>
      </c>
      <c r="AG7" s="112">
        <v>20.39</v>
      </c>
      <c r="AH7" s="115">
        <v>784031000</v>
      </c>
      <c r="AI7" s="115">
        <v>446794000</v>
      </c>
      <c r="AJ7" s="115">
        <v>337237000</v>
      </c>
      <c r="AK7" s="115">
        <v>528034000</v>
      </c>
      <c r="AL7" s="115">
        <v>255997000</v>
      </c>
      <c r="AM7" s="115">
        <v>266744000</v>
      </c>
      <c r="AN7" s="115">
        <v>224579000</v>
      </c>
      <c r="AO7" s="115">
        <v>36711000</v>
      </c>
      <c r="AP7" s="276">
        <v>0</v>
      </c>
      <c r="AQ7" s="115">
        <v>181050000</v>
      </c>
      <c r="AR7" s="115">
        <v>74947000</v>
      </c>
      <c r="AS7" s="115">
        <v>621007000</v>
      </c>
      <c r="AT7" s="116">
        <v>866580000</v>
      </c>
      <c r="AU7" s="115">
        <v>405551000</v>
      </c>
      <c r="AV7" s="115">
        <v>270367000</v>
      </c>
      <c r="AW7" s="115">
        <v>190662000</v>
      </c>
      <c r="AX7" s="115">
        <v>225844000</v>
      </c>
      <c r="AY7" s="115">
        <v>193627000</v>
      </c>
      <c r="AZ7" s="251" t="s">
        <v>185</v>
      </c>
      <c r="BA7" s="115">
        <v>2538591000</v>
      </c>
      <c r="BB7" s="115">
        <v>1090203000</v>
      </c>
      <c r="BC7" s="115">
        <v>1214146000</v>
      </c>
      <c r="BD7" s="115">
        <v>234242000</v>
      </c>
      <c r="BE7" s="115" t="s">
        <v>185</v>
      </c>
      <c r="BF7" s="115">
        <v>367000</v>
      </c>
      <c r="BG7" s="251" t="s">
        <v>185</v>
      </c>
      <c r="BH7" s="251">
        <v>250</v>
      </c>
      <c r="BI7" s="109"/>
    </row>
    <row r="8" spans="1:61" s="108" customFormat="1" ht="15" customHeight="1">
      <c r="A8" s="109">
        <v>2001</v>
      </c>
      <c r="B8" s="274" t="s">
        <v>183</v>
      </c>
      <c r="C8" s="274" t="s">
        <v>182</v>
      </c>
      <c r="D8" s="115">
        <v>446.2</v>
      </c>
      <c r="E8" s="274">
        <v>1</v>
      </c>
      <c r="F8" s="109">
        <v>951</v>
      </c>
      <c r="G8" s="255" t="s">
        <v>186</v>
      </c>
      <c r="H8" s="274" t="s">
        <v>187</v>
      </c>
      <c r="I8" s="115">
        <v>243.8</v>
      </c>
      <c r="J8" s="115">
        <v>123.4</v>
      </c>
      <c r="K8" s="115">
        <v>38.4</v>
      </c>
      <c r="L8" s="112">
        <v>7.32</v>
      </c>
      <c r="M8" s="187">
        <v>0.142</v>
      </c>
      <c r="N8" s="115">
        <v>494</v>
      </c>
      <c r="O8" s="112">
        <v>61.482</v>
      </c>
      <c r="P8" s="112">
        <v>3.8</v>
      </c>
      <c r="Q8" s="112">
        <v>29.308</v>
      </c>
      <c r="R8" s="112">
        <v>14.23</v>
      </c>
      <c r="S8" s="112">
        <v>13.65</v>
      </c>
      <c r="T8" s="112">
        <v>0.58</v>
      </c>
      <c r="U8" s="112">
        <v>13.09</v>
      </c>
      <c r="V8" s="112">
        <v>1.99</v>
      </c>
      <c r="W8" s="274" t="s">
        <v>185</v>
      </c>
      <c r="X8" s="115">
        <v>918</v>
      </c>
      <c r="Y8" s="115">
        <v>230.4</v>
      </c>
      <c r="Z8" s="112">
        <v>6.84</v>
      </c>
      <c r="AA8" s="117">
        <v>228</v>
      </c>
      <c r="AB8" s="117">
        <v>6825</v>
      </c>
      <c r="AC8" s="112">
        <v>19.5</v>
      </c>
      <c r="AD8" s="112">
        <v>13.09</v>
      </c>
      <c r="AE8" s="112">
        <v>6.41</v>
      </c>
      <c r="AF8" s="112">
        <v>19.5</v>
      </c>
      <c r="AG8" s="112">
        <v>19.5</v>
      </c>
      <c r="AH8" s="115">
        <v>820452000</v>
      </c>
      <c r="AI8" s="115">
        <v>446870000</v>
      </c>
      <c r="AJ8" s="115">
        <v>373582000</v>
      </c>
      <c r="AK8" s="115">
        <v>555706000</v>
      </c>
      <c r="AL8" s="115">
        <v>264746000</v>
      </c>
      <c r="AM8" s="115">
        <v>268850000</v>
      </c>
      <c r="AN8" s="115">
        <v>220002000</v>
      </c>
      <c r="AO8" s="115">
        <v>66854000</v>
      </c>
      <c r="AP8" s="274"/>
      <c r="AQ8" s="115">
        <v>178020000</v>
      </c>
      <c r="AR8" s="115">
        <v>86726000</v>
      </c>
      <c r="AS8" s="115">
        <v>641318000</v>
      </c>
      <c r="AT8" s="116">
        <v>800217000</v>
      </c>
      <c r="AU8" s="115">
        <v>410175000</v>
      </c>
      <c r="AV8" s="115">
        <v>273451000</v>
      </c>
      <c r="AW8" s="115">
        <v>116591000</v>
      </c>
      <c r="AX8" s="115">
        <v>255795000</v>
      </c>
      <c r="AY8" s="115">
        <v>182222000</v>
      </c>
      <c r="AZ8" s="272"/>
      <c r="BA8" s="115">
        <v>2704287000</v>
      </c>
      <c r="BB8" s="115">
        <v>1190881000</v>
      </c>
      <c r="BC8" s="115">
        <v>1237796000</v>
      </c>
      <c r="BD8" s="115">
        <v>275610000</v>
      </c>
      <c r="BE8" s="115" t="s">
        <v>185</v>
      </c>
      <c r="BF8" s="115">
        <v>408900</v>
      </c>
      <c r="BG8" s="272" t="s">
        <v>185</v>
      </c>
      <c r="BH8" s="272">
        <v>250</v>
      </c>
      <c r="BI8" s="109"/>
    </row>
    <row r="9" spans="1:61" s="108" customFormat="1" ht="15" customHeight="1">
      <c r="A9" s="109">
        <v>2002</v>
      </c>
      <c r="B9" s="274" t="s">
        <v>183</v>
      </c>
      <c r="C9" s="274" t="s">
        <v>182</v>
      </c>
      <c r="D9" s="115">
        <v>493.1</v>
      </c>
      <c r="E9" s="274">
        <v>1</v>
      </c>
      <c r="F9" s="109">
        <v>949</v>
      </c>
      <c r="G9" s="255" t="s">
        <v>186</v>
      </c>
      <c r="H9" s="274" t="s">
        <v>187</v>
      </c>
      <c r="I9" s="115">
        <v>250.7</v>
      </c>
      <c r="J9" s="115">
        <v>163.1</v>
      </c>
      <c r="K9" s="115">
        <v>42.2</v>
      </c>
      <c r="L9" s="112">
        <v>8.04</v>
      </c>
      <c r="M9" s="187">
        <v>0.172</v>
      </c>
      <c r="N9" s="115">
        <v>585</v>
      </c>
      <c r="O9" s="112">
        <v>61.688</v>
      </c>
      <c r="P9" s="112">
        <v>4.23</v>
      </c>
      <c r="Q9" s="112">
        <v>29.11</v>
      </c>
      <c r="R9" s="112">
        <v>14.02</v>
      </c>
      <c r="S9" s="112">
        <v>13.41</v>
      </c>
      <c r="T9" s="112">
        <v>0.61</v>
      </c>
      <c r="U9" s="112">
        <v>12.87</v>
      </c>
      <c r="V9" s="112">
        <v>2.22</v>
      </c>
      <c r="W9" s="274" t="s">
        <v>185</v>
      </c>
      <c r="X9" s="115">
        <v>823</v>
      </c>
      <c r="Y9" s="115">
        <v>246.2</v>
      </c>
      <c r="Z9" s="112">
        <v>7.04</v>
      </c>
      <c r="AA9" s="117">
        <v>243</v>
      </c>
      <c r="AB9" s="117">
        <v>7358</v>
      </c>
      <c r="AC9" s="112">
        <v>19.78</v>
      </c>
      <c r="AD9" s="112">
        <v>12.77</v>
      </c>
      <c r="AE9" s="112">
        <v>7.01</v>
      </c>
      <c r="AF9" s="112">
        <v>19.78</v>
      </c>
      <c r="AG9" s="112">
        <v>19.78</v>
      </c>
      <c r="AH9" s="115">
        <v>1021777000</v>
      </c>
      <c r="AI9" s="115">
        <v>565143000</v>
      </c>
      <c r="AJ9" s="115">
        <v>456634000</v>
      </c>
      <c r="AK9" s="115">
        <v>686129000</v>
      </c>
      <c r="AL9" s="115">
        <v>335648000</v>
      </c>
      <c r="AM9" s="115">
        <v>330420000</v>
      </c>
      <c r="AN9" s="115">
        <v>281144000</v>
      </c>
      <c r="AO9" s="115">
        <v>74565000</v>
      </c>
      <c r="AP9" s="274">
        <v>0</v>
      </c>
      <c r="AQ9" s="115">
        <v>234723000</v>
      </c>
      <c r="AR9" s="115">
        <v>100925000</v>
      </c>
      <c r="AS9" s="115">
        <v>819170000</v>
      </c>
      <c r="AT9" s="116">
        <v>983239000</v>
      </c>
      <c r="AU9" s="115">
        <v>481477000</v>
      </c>
      <c r="AV9" s="115">
        <v>320985000</v>
      </c>
      <c r="AW9" s="115">
        <v>180777000</v>
      </c>
      <c r="AX9" s="115">
        <v>314065000</v>
      </c>
      <c r="AY9" s="115">
        <v>199259000</v>
      </c>
      <c r="AZ9" s="272"/>
      <c r="BA9" s="115">
        <v>2879825000</v>
      </c>
      <c r="BB9" s="115">
        <v>1270938000</v>
      </c>
      <c r="BC9" s="115">
        <v>1308512000</v>
      </c>
      <c r="BD9" s="115">
        <v>300375000</v>
      </c>
      <c r="BE9" s="115" t="s">
        <v>185</v>
      </c>
      <c r="BF9" s="115">
        <v>358400</v>
      </c>
      <c r="BG9" s="272" t="s">
        <v>185</v>
      </c>
      <c r="BH9" s="272">
        <v>250</v>
      </c>
      <c r="BI9" s="109"/>
    </row>
    <row r="10" spans="1:61" s="108" customFormat="1" ht="15" customHeight="1">
      <c r="A10" s="109">
        <v>2003</v>
      </c>
      <c r="B10" s="274"/>
      <c r="C10" s="274"/>
      <c r="D10" s="115">
        <v>502</v>
      </c>
      <c r="E10" s="274"/>
      <c r="F10" s="109">
        <v>976</v>
      </c>
      <c r="G10" s="255"/>
      <c r="H10" s="274"/>
      <c r="I10" s="115">
        <v>260.4</v>
      </c>
      <c r="J10" s="115">
        <v>192.4</v>
      </c>
      <c r="K10" s="115">
        <v>44.3</v>
      </c>
      <c r="L10" s="112">
        <v>8.43</v>
      </c>
      <c r="M10" s="187">
        <v>0.253</v>
      </c>
      <c r="N10" s="115">
        <v>590</v>
      </c>
      <c r="O10" s="112">
        <v>59.276</v>
      </c>
      <c r="P10" s="112">
        <v>4.9</v>
      </c>
      <c r="Q10" s="112">
        <v>31.325</v>
      </c>
      <c r="R10" s="112">
        <v>14.87</v>
      </c>
      <c r="S10" s="112">
        <v>14.19</v>
      </c>
      <c r="T10" s="112">
        <v>0.68</v>
      </c>
      <c r="U10" s="112">
        <v>13.8</v>
      </c>
      <c r="V10" s="112">
        <v>2.66</v>
      </c>
      <c r="W10" s="274"/>
      <c r="X10" s="115">
        <v>711</v>
      </c>
      <c r="Y10" s="115">
        <v>254.2</v>
      </c>
      <c r="Z10" s="112">
        <v>7.33</v>
      </c>
      <c r="AA10" s="117">
        <v>250</v>
      </c>
      <c r="AB10" s="117">
        <v>6441</v>
      </c>
      <c r="AC10" s="112">
        <v>22.09</v>
      </c>
      <c r="AD10" s="112">
        <v>13.29</v>
      </c>
      <c r="AE10" s="112">
        <v>8.8</v>
      </c>
      <c r="AF10" s="112">
        <v>22.09</v>
      </c>
      <c r="AG10" s="112">
        <v>22.09</v>
      </c>
      <c r="AH10" s="115">
        <v>1113234000</v>
      </c>
      <c r="AI10" s="115">
        <v>575993000</v>
      </c>
      <c r="AJ10" s="115">
        <v>537241000</v>
      </c>
      <c r="AK10" s="115">
        <v>738320000</v>
      </c>
      <c r="AL10" s="115">
        <v>374914000</v>
      </c>
      <c r="AM10" s="115">
        <v>350425000</v>
      </c>
      <c r="AN10" s="115">
        <v>309532000</v>
      </c>
      <c r="AO10" s="115">
        <v>78363000</v>
      </c>
      <c r="AP10" s="274">
        <v>0</v>
      </c>
      <c r="AQ10" s="115">
        <v>225568000</v>
      </c>
      <c r="AR10" s="115">
        <v>149346000</v>
      </c>
      <c r="AS10" s="115">
        <v>992367000</v>
      </c>
      <c r="AT10" s="116">
        <v>1092870000</v>
      </c>
      <c r="AU10" s="115">
        <v>574201000</v>
      </c>
      <c r="AV10" s="115">
        <v>382801000</v>
      </c>
      <c r="AW10" s="115">
        <v>135868000</v>
      </c>
      <c r="AX10" s="115">
        <v>367301000</v>
      </c>
      <c r="AY10" s="115">
        <v>214381000</v>
      </c>
      <c r="AZ10" s="272"/>
      <c r="BA10" s="115">
        <v>2916330000</v>
      </c>
      <c r="BB10" s="115">
        <v>1255279000</v>
      </c>
      <c r="BC10" s="115">
        <v>1479577000</v>
      </c>
      <c r="BD10" s="115">
        <v>181474000</v>
      </c>
      <c r="BE10" s="115" t="s">
        <v>185</v>
      </c>
      <c r="BF10" s="115">
        <v>280600</v>
      </c>
      <c r="BG10" s="272" t="s">
        <v>185</v>
      </c>
      <c r="BH10" s="272">
        <v>250</v>
      </c>
      <c r="BI10" s="109"/>
    </row>
    <row r="11" spans="1:61" s="108" customFormat="1" ht="15" customHeight="1">
      <c r="A11" s="109">
        <v>2004</v>
      </c>
      <c r="B11" s="274"/>
      <c r="C11" s="274"/>
      <c r="D11" s="115">
        <v>510.5</v>
      </c>
      <c r="E11" s="274"/>
      <c r="F11" s="109">
        <v>1047</v>
      </c>
      <c r="G11" s="255"/>
      <c r="H11" s="274"/>
      <c r="I11" s="115">
        <v>280.2</v>
      </c>
      <c r="J11" s="115">
        <v>246.9</v>
      </c>
      <c r="K11" s="115">
        <v>47.2</v>
      </c>
      <c r="L11" s="112">
        <v>8.64</v>
      </c>
      <c r="M11" s="187">
        <v>0.306</v>
      </c>
      <c r="N11" s="115">
        <v>609</v>
      </c>
      <c r="O11" s="112">
        <v>59.603</v>
      </c>
      <c r="P11" s="112">
        <v>5.52</v>
      </c>
      <c r="Q11" s="112">
        <v>34.714</v>
      </c>
      <c r="R11" s="112">
        <v>16.19</v>
      </c>
      <c r="S11" s="112">
        <v>15.47</v>
      </c>
      <c r="T11" s="112">
        <v>0.72</v>
      </c>
      <c r="U11" s="112">
        <v>15.59</v>
      </c>
      <c r="V11" s="112">
        <v>2.93</v>
      </c>
      <c r="W11" s="274"/>
      <c r="X11" s="115">
        <v>629</v>
      </c>
      <c r="Y11" s="115">
        <v>269.9</v>
      </c>
      <c r="Z11" s="112">
        <v>7.4</v>
      </c>
      <c r="AA11" s="117">
        <v>251</v>
      </c>
      <c r="AB11" s="117">
        <v>9854</v>
      </c>
      <c r="AC11" s="112">
        <v>24.32</v>
      </c>
      <c r="AD11" s="112">
        <v>14.65</v>
      </c>
      <c r="AE11" s="112">
        <v>9.67</v>
      </c>
      <c r="AF11" s="112">
        <v>24.32</v>
      </c>
      <c r="AG11" s="112">
        <v>24.32</v>
      </c>
      <c r="AH11" s="115">
        <v>1220360000</v>
      </c>
      <c r="AI11" s="115">
        <v>624860000</v>
      </c>
      <c r="AJ11" s="115">
        <v>595500000</v>
      </c>
      <c r="AK11" s="115">
        <v>811270000</v>
      </c>
      <c r="AL11" s="115">
        <v>409090000</v>
      </c>
      <c r="AM11" s="115">
        <v>378372000</v>
      </c>
      <c r="AN11" s="115">
        <v>350231000</v>
      </c>
      <c r="AO11" s="115">
        <v>82667000</v>
      </c>
      <c r="AP11" s="274">
        <v>0</v>
      </c>
      <c r="AQ11" s="115">
        <v>246488000</v>
      </c>
      <c r="AR11" s="115">
        <v>162602000</v>
      </c>
      <c r="AS11" s="115">
        <v>1053573000</v>
      </c>
      <c r="AT11" s="116">
        <v>1240712000</v>
      </c>
      <c r="AU11" s="115">
        <v>589693000</v>
      </c>
      <c r="AV11" s="115">
        <v>393129000</v>
      </c>
      <c r="AW11" s="115">
        <v>257890000</v>
      </c>
      <c r="AX11" s="115">
        <v>431442000</v>
      </c>
      <c r="AY11" s="115">
        <v>215626000</v>
      </c>
      <c r="AZ11" s="272"/>
      <c r="BA11" s="115">
        <v>2932599000</v>
      </c>
      <c r="BB11" s="115">
        <v>1216370000</v>
      </c>
      <c r="BC11" s="115">
        <v>1418640000</v>
      </c>
      <c r="BD11" s="115">
        <v>297589000</v>
      </c>
      <c r="BE11" s="115" t="s">
        <v>185</v>
      </c>
      <c r="BF11" s="115">
        <v>269000</v>
      </c>
      <c r="BG11" s="272" t="s">
        <v>185</v>
      </c>
      <c r="BH11" s="272">
        <v>250</v>
      </c>
      <c r="BI11" s="109"/>
    </row>
    <row r="12" spans="1:61" s="108" customFormat="1" ht="15" customHeight="1">
      <c r="A12" s="109">
        <v>2005</v>
      </c>
      <c r="B12" s="274"/>
      <c r="C12" s="274"/>
      <c r="D12" s="115">
        <v>529.3</v>
      </c>
      <c r="E12" s="274"/>
      <c r="F12" s="109">
        <v>1071</v>
      </c>
      <c r="G12" s="255"/>
      <c r="H12" s="274"/>
      <c r="I12" s="115">
        <v>296.5</v>
      </c>
      <c r="J12" s="115">
        <v>254.3</v>
      </c>
      <c r="K12" s="115">
        <v>49.6</v>
      </c>
      <c r="L12" s="112">
        <v>8.84</v>
      </c>
      <c r="M12" s="187">
        <v>0.421</v>
      </c>
      <c r="N12" s="115">
        <v>610</v>
      </c>
      <c r="O12" s="112">
        <v>61.486</v>
      </c>
      <c r="P12" s="112">
        <v>6.43</v>
      </c>
      <c r="Q12" s="112">
        <v>38.237</v>
      </c>
      <c r="R12" s="112">
        <v>17.23</v>
      </c>
      <c r="S12" s="112">
        <v>16.48</v>
      </c>
      <c r="T12" s="112">
        <v>0.75</v>
      </c>
      <c r="U12" s="112">
        <v>17.91</v>
      </c>
      <c r="V12" s="112">
        <v>3.1</v>
      </c>
      <c r="W12" s="274"/>
      <c r="X12" s="115">
        <v>764</v>
      </c>
      <c r="Y12" s="115">
        <v>283.1</v>
      </c>
      <c r="Z12" s="112">
        <v>7.59</v>
      </c>
      <c r="AA12" s="117">
        <v>253</v>
      </c>
      <c r="AB12" s="117">
        <v>13604</v>
      </c>
      <c r="AC12" s="112">
        <v>27.24</v>
      </c>
      <c r="AD12" s="112">
        <v>15.77</v>
      </c>
      <c r="AE12" s="112">
        <v>11.47</v>
      </c>
      <c r="AF12" s="112">
        <v>27.24</v>
      </c>
      <c r="AG12" s="112">
        <v>27.24</v>
      </c>
      <c r="AH12" s="115">
        <v>1257668000</v>
      </c>
      <c r="AI12" s="115">
        <v>661696000</v>
      </c>
      <c r="AJ12" s="115">
        <v>595972000</v>
      </c>
      <c r="AK12" s="115">
        <v>805593000</v>
      </c>
      <c r="AL12" s="115">
        <v>452075000</v>
      </c>
      <c r="AM12" s="115">
        <v>399157000</v>
      </c>
      <c r="AN12" s="115">
        <v>320095000</v>
      </c>
      <c r="AO12" s="115">
        <v>86341000</v>
      </c>
      <c r="AP12" s="274">
        <v>0</v>
      </c>
      <c r="AQ12" s="115">
        <v>262539000</v>
      </c>
      <c r="AR12" s="115">
        <v>189536000</v>
      </c>
      <c r="AS12" s="115">
        <v>1226142000</v>
      </c>
      <c r="AT12" s="116">
        <v>1322355000</v>
      </c>
      <c r="AU12" s="115">
        <v>664943000</v>
      </c>
      <c r="AV12" s="115">
        <v>443296000</v>
      </c>
      <c r="AW12" s="115">
        <v>214116000</v>
      </c>
      <c r="AX12" s="115">
        <v>484986000</v>
      </c>
      <c r="AY12" s="115">
        <v>210863000</v>
      </c>
      <c r="AZ12" s="272"/>
      <c r="BA12" s="115">
        <v>2906729000</v>
      </c>
      <c r="BB12" s="115">
        <v>1199375000</v>
      </c>
      <c r="BC12" s="115">
        <v>1406211000</v>
      </c>
      <c r="BD12" s="115">
        <v>301143000</v>
      </c>
      <c r="BE12" s="115" t="s">
        <v>185</v>
      </c>
      <c r="BF12" s="115">
        <v>230000</v>
      </c>
      <c r="BG12" s="272" t="s">
        <v>185</v>
      </c>
      <c r="BH12" s="272">
        <v>250</v>
      </c>
      <c r="BI12" s="109"/>
    </row>
    <row r="13" spans="1:61" s="108" customFormat="1" ht="15" customHeight="1">
      <c r="A13" s="109">
        <v>2006</v>
      </c>
      <c r="B13" s="274"/>
      <c r="C13" s="274"/>
      <c r="D13" s="115">
        <v>550.4</v>
      </c>
      <c r="E13" s="274"/>
      <c r="F13" s="109">
        <v>1139</v>
      </c>
      <c r="G13" s="255"/>
      <c r="H13" s="274"/>
      <c r="I13" s="115">
        <v>317.8</v>
      </c>
      <c r="J13" s="115">
        <v>284.9</v>
      </c>
      <c r="K13" s="115">
        <v>53.2</v>
      </c>
      <c r="L13" s="112">
        <v>9.04</v>
      </c>
      <c r="M13" s="187">
        <v>0.48</v>
      </c>
      <c r="N13" s="115">
        <v>612</v>
      </c>
      <c r="O13" s="112">
        <v>63.843</v>
      </c>
      <c r="P13" s="112">
        <v>6.81</v>
      </c>
      <c r="Q13" s="112">
        <v>41.708</v>
      </c>
      <c r="R13" s="112">
        <v>18.46</v>
      </c>
      <c r="S13" s="112">
        <v>17.63</v>
      </c>
      <c r="T13" s="112">
        <v>0.83</v>
      </c>
      <c r="U13" s="112">
        <v>20.28</v>
      </c>
      <c r="V13" s="112">
        <v>2.97</v>
      </c>
      <c r="W13" s="274"/>
      <c r="X13" s="115">
        <v>776</v>
      </c>
      <c r="Y13" s="115">
        <v>301.4</v>
      </c>
      <c r="Z13" s="112">
        <v>7.74</v>
      </c>
      <c r="AA13" s="117">
        <v>255</v>
      </c>
      <c r="AB13" s="117">
        <v>16723</v>
      </c>
      <c r="AC13" s="112">
        <v>30.24</v>
      </c>
      <c r="AD13" s="112">
        <v>16.74</v>
      </c>
      <c r="AE13" s="112">
        <v>13.5</v>
      </c>
      <c r="AF13" s="112">
        <v>30.24</v>
      </c>
      <c r="AG13" s="112">
        <v>30.24</v>
      </c>
      <c r="AH13" s="115">
        <v>1437448000</v>
      </c>
      <c r="AI13" s="115">
        <v>738829000</v>
      </c>
      <c r="AJ13" s="115">
        <v>698619000</v>
      </c>
      <c r="AK13" s="115">
        <v>910771000</v>
      </c>
      <c r="AL13" s="115">
        <v>526677000</v>
      </c>
      <c r="AM13" s="115">
        <v>447997000</v>
      </c>
      <c r="AN13" s="115">
        <v>388580000</v>
      </c>
      <c r="AO13" s="115">
        <v>74194000</v>
      </c>
      <c r="AP13" s="274">
        <v>0</v>
      </c>
      <c r="AQ13" s="115">
        <v>290832000</v>
      </c>
      <c r="AR13" s="115">
        <v>235845000</v>
      </c>
      <c r="AS13" s="115">
        <v>1275346000</v>
      </c>
      <c r="AT13" s="116">
        <v>1493451000</v>
      </c>
      <c r="AU13" s="115">
        <v>785394000</v>
      </c>
      <c r="AV13" s="115">
        <v>523596000</v>
      </c>
      <c r="AW13" s="115">
        <v>184461000</v>
      </c>
      <c r="AX13" s="115">
        <v>602879000</v>
      </c>
      <c r="AY13" s="115">
        <v>224822000</v>
      </c>
      <c r="AZ13" s="272"/>
      <c r="BA13" s="115">
        <v>4437119000</v>
      </c>
      <c r="BB13" s="115">
        <v>2251765000</v>
      </c>
      <c r="BC13" s="115">
        <v>1638612000</v>
      </c>
      <c r="BD13" s="115">
        <v>546742000</v>
      </c>
      <c r="BE13" s="115" t="s">
        <v>185</v>
      </c>
      <c r="BF13" s="115">
        <v>217500</v>
      </c>
      <c r="BG13" s="272" t="s">
        <v>185</v>
      </c>
      <c r="BH13" s="272">
        <v>250</v>
      </c>
      <c r="BI13" s="109"/>
    </row>
    <row r="14" spans="1:61" s="108" customFormat="1" ht="15" customHeight="1">
      <c r="A14" s="109">
        <v>2007</v>
      </c>
      <c r="B14" s="274"/>
      <c r="C14" s="274"/>
      <c r="D14" s="115">
        <v>574.2</v>
      </c>
      <c r="E14" s="274"/>
      <c r="F14" s="109">
        <v>1157</v>
      </c>
      <c r="G14" s="255"/>
      <c r="H14" s="274"/>
      <c r="I14" s="115">
        <v>354.3</v>
      </c>
      <c r="J14" s="115">
        <v>309.3</v>
      </c>
      <c r="K14" s="115">
        <v>55.4</v>
      </c>
      <c r="L14" s="112">
        <v>9.29</v>
      </c>
      <c r="M14" s="187">
        <v>0.504</v>
      </c>
      <c r="N14" s="115">
        <v>668</v>
      </c>
      <c r="O14" s="112">
        <v>65.4</v>
      </c>
      <c r="P14" s="112">
        <v>7.8</v>
      </c>
      <c r="Q14" s="112">
        <v>48.991</v>
      </c>
      <c r="R14" s="112">
        <v>20.157</v>
      </c>
      <c r="S14" s="112">
        <v>19.36</v>
      </c>
      <c r="T14" s="112">
        <v>0.8</v>
      </c>
      <c r="U14" s="112">
        <v>25.54</v>
      </c>
      <c r="V14" s="112">
        <v>3.29</v>
      </c>
      <c r="W14" s="274"/>
      <c r="X14" s="115">
        <v>826</v>
      </c>
      <c r="Y14" s="115">
        <v>330.9</v>
      </c>
      <c r="Z14" s="112">
        <v>7.89</v>
      </c>
      <c r="AA14" s="114">
        <v>265</v>
      </c>
      <c r="AB14" s="114">
        <v>20950</v>
      </c>
      <c r="AC14" s="112">
        <v>35.96</v>
      </c>
      <c r="AD14" s="112">
        <v>18.35</v>
      </c>
      <c r="AE14" s="112">
        <v>17.61</v>
      </c>
      <c r="AF14" s="112">
        <v>35.96</v>
      </c>
      <c r="AG14" s="112">
        <v>35.96</v>
      </c>
      <c r="AH14" s="115">
        <v>1739568000</v>
      </c>
      <c r="AI14" s="115">
        <v>837976000</v>
      </c>
      <c r="AJ14" s="115">
        <v>901592000</v>
      </c>
      <c r="AK14" s="115">
        <v>1082792000</v>
      </c>
      <c r="AL14" s="115">
        <v>656776000</v>
      </c>
      <c r="AM14" s="115">
        <v>503092000</v>
      </c>
      <c r="AN14" s="115">
        <v>497359000</v>
      </c>
      <c r="AO14" s="115">
        <v>82341000</v>
      </c>
      <c r="AP14" s="274">
        <v>0</v>
      </c>
      <c r="AQ14" s="115">
        <v>327533000</v>
      </c>
      <c r="AR14" s="115">
        <v>329243000</v>
      </c>
      <c r="AS14" s="115">
        <v>1622486000</v>
      </c>
      <c r="AT14" s="116">
        <v>1897470000</v>
      </c>
      <c r="AU14" s="115">
        <v>994594000</v>
      </c>
      <c r="AV14" s="115">
        <v>663062000</v>
      </c>
      <c r="AW14" s="115">
        <v>239814000</v>
      </c>
      <c r="AX14" s="115">
        <v>744622000</v>
      </c>
      <c r="AY14" s="115">
        <v>309859000</v>
      </c>
      <c r="AZ14" s="272"/>
      <c r="BA14" s="115">
        <v>5763983000</v>
      </c>
      <c r="BB14" s="115">
        <v>2976013000</v>
      </c>
      <c r="BC14" s="115">
        <v>2365278000</v>
      </c>
      <c r="BD14" s="115">
        <v>422692000</v>
      </c>
      <c r="BE14" s="115" t="s">
        <v>185</v>
      </c>
      <c r="BF14" s="115">
        <v>222000</v>
      </c>
      <c r="BG14" s="272" t="s">
        <v>185</v>
      </c>
      <c r="BH14" s="272">
        <v>250</v>
      </c>
      <c r="BI14" s="109"/>
    </row>
    <row r="15" spans="1:61" s="74" customFormat="1" ht="15" customHeight="1">
      <c r="A15" s="109">
        <v>2008</v>
      </c>
      <c r="B15" s="274"/>
      <c r="C15" s="274"/>
      <c r="D15" s="115">
        <v>602.7</v>
      </c>
      <c r="E15" s="274"/>
      <c r="F15" s="109">
        <v>1228</v>
      </c>
      <c r="G15" s="255"/>
      <c r="H15" s="274"/>
      <c r="I15" s="115">
        <v>425.6</v>
      </c>
      <c r="J15" s="115">
        <v>370.4</v>
      </c>
      <c r="K15" s="115">
        <v>60.5</v>
      </c>
      <c r="L15" s="112">
        <v>9.89</v>
      </c>
      <c r="M15" s="187">
        <v>0.556</v>
      </c>
      <c r="N15" s="115">
        <v>716</v>
      </c>
      <c r="O15" s="112">
        <v>68.2</v>
      </c>
      <c r="P15" s="112">
        <v>9.5</v>
      </c>
      <c r="Q15" s="112">
        <v>52.5</v>
      </c>
      <c r="R15" s="112">
        <v>21.6</v>
      </c>
      <c r="S15" s="112">
        <v>20.5</v>
      </c>
      <c r="T15" s="112">
        <v>1.1</v>
      </c>
      <c r="U15" s="112">
        <v>27.5</v>
      </c>
      <c r="V15" s="112">
        <v>3.4</v>
      </c>
      <c r="W15" s="274"/>
      <c r="X15" s="115">
        <v>1098</v>
      </c>
      <c r="Y15" s="115">
        <v>359.7</v>
      </c>
      <c r="Z15" s="112">
        <v>8.24</v>
      </c>
      <c r="AA15" s="114">
        <v>293</v>
      </c>
      <c r="AB15" s="114">
        <v>20448</v>
      </c>
      <c r="AC15" s="112">
        <v>37.9</v>
      </c>
      <c r="AD15" s="112">
        <v>19.4</v>
      </c>
      <c r="AE15" s="112">
        <v>18.5</v>
      </c>
      <c r="AF15" s="112">
        <v>37.9</v>
      </c>
      <c r="AG15" s="112">
        <v>37.9</v>
      </c>
      <c r="AH15" s="115">
        <v>1789355300</v>
      </c>
      <c r="AI15" s="115">
        <v>858800410</v>
      </c>
      <c r="AJ15" s="115">
        <v>930554890</v>
      </c>
      <c r="AK15" s="115">
        <v>1128076520</v>
      </c>
      <c r="AL15" s="115">
        <v>661278780</v>
      </c>
      <c r="AM15" s="115">
        <v>520529317</v>
      </c>
      <c r="AN15" s="115">
        <v>523194168</v>
      </c>
      <c r="AO15" s="115">
        <v>84353035</v>
      </c>
      <c r="AP15" s="274">
        <v>0</v>
      </c>
      <c r="AQ15" s="115">
        <v>338271093</v>
      </c>
      <c r="AR15" s="115">
        <v>323007687</v>
      </c>
      <c r="AS15" s="115">
        <v>1789355000</v>
      </c>
      <c r="AT15" s="116">
        <v>2039038000</v>
      </c>
      <c r="AU15" s="115">
        <v>1136862000</v>
      </c>
      <c r="AV15" s="115">
        <v>808111000</v>
      </c>
      <c r="AW15" s="115">
        <v>147347200</v>
      </c>
      <c r="AX15" s="115">
        <v>835621000</v>
      </c>
      <c r="AY15" s="115">
        <v>301576000</v>
      </c>
      <c r="AZ15" s="272"/>
      <c r="BA15" s="115">
        <v>5922826168</v>
      </c>
      <c r="BB15" s="115">
        <v>3079869600</v>
      </c>
      <c r="BC15" s="115">
        <v>2428358700</v>
      </c>
      <c r="BD15" s="115">
        <v>414597868</v>
      </c>
      <c r="BE15" s="115" t="s">
        <v>185</v>
      </c>
      <c r="BF15" s="115">
        <v>407692</v>
      </c>
      <c r="BG15" s="272" t="s">
        <v>185</v>
      </c>
      <c r="BH15" s="272">
        <v>250</v>
      </c>
      <c r="BI15" s="109"/>
    </row>
    <row r="16" spans="1:61" s="74" customFormat="1" ht="15" customHeight="1">
      <c r="A16" s="109">
        <v>2009</v>
      </c>
      <c r="B16" s="274"/>
      <c r="C16" s="274"/>
      <c r="D16" s="115">
        <v>640</v>
      </c>
      <c r="E16" s="274"/>
      <c r="F16" s="109">
        <v>1172</v>
      </c>
      <c r="G16" s="255"/>
      <c r="H16" s="274"/>
      <c r="I16" s="115">
        <v>462.8</v>
      </c>
      <c r="J16" s="115">
        <v>391.5</v>
      </c>
      <c r="K16" s="115">
        <v>69.7</v>
      </c>
      <c r="L16" s="112">
        <v>10.9</v>
      </c>
      <c r="M16" s="187">
        <v>0.741</v>
      </c>
      <c r="N16" s="115">
        <v>773</v>
      </c>
      <c r="O16" s="112">
        <v>67.74</v>
      </c>
      <c r="P16" s="112">
        <v>10.3</v>
      </c>
      <c r="Q16" s="112">
        <v>51.037</v>
      </c>
      <c r="R16" s="112">
        <v>23.2</v>
      </c>
      <c r="S16" s="112">
        <v>21.95</v>
      </c>
      <c r="T16" s="112">
        <v>1.25</v>
      </c>
      <c r="U16" s="112">
        <v>24.46</v>
      </c>
      <c r="V16" s="112">
        <v>3.409</v>
      </c>
      <c r="W16" s="274"/>
      <c r="X16" s="115">
        <v>994</v>
      </c>
      <c r="Y16" s="115">
        <v>382.6</v>
      </c>
      <c r="Z16" s="112">
        <v>8.75</v>
      </c>
      <c r="AA16" s="114">
        <v>343</v>
      </c>
      <c r="AB16" s="114">
        <v>15343</v>
      </c>
      <c r="AC16" s="112">
        <v>37.687</v>
      </c>
      <c r="AD16" s="112">
        <v>21.323</v>
      </c>
      <c r="AE16" s="112">
        <v>12.845</v>
      </c>
      <c r="AF16" s="112">
        <v>37.687</v>
      </c>
      <c r="AG16" s="112">
        <v>37.687</v>
      </c>
      <c r="AH16" s="115">
        <v>1686770776</v>
      </c>
      <c r="AI16" s="115">
        <v>906715699.6800001</v>
      </c>
      <c r="AJ16" s="115">
        <v>780055076.6400001</v>
      </c>
      <c r="AK16" s="115">
        <v>1060706799.0400001</v>
      </c>
      <c r="AL16" s="115">
        <v>626063977.2800001</v>
      </c>
      <c r="AM16" s="115">
        <v>546466985</v>
      </c>
      <c r="AN16" s="115">
        <v>433917518</v>
      </c>
      <c r="AO16" s="115">
        <v>80322296</v>
      </c>
      <c r="AP16" s="274">
        <v>0</v>
      </c>
      <c r="AQ16" s="115">
        <v>360248715</v>
      </c>
      <c r="AR16" s="115">
        <v>265815262</v>
      </c>
      <c r="AS16" s="115">
        <v>1686770776</v>
      </c>
      <c r="AT16" s="116">
        <v>3317221610</v>
      </c>
      <c r="AU16" s="115">
        <v>1776629578</v>
      </c>
      <c r="AV16" s="115">
        <v>1212843788</v>
      </c>
      <c r="AW16" s="115">
        <v>327748244</v>
      </c>
      <c r="AX16" s="115">
        <v>886104136</v>
      </c>
      <c r="AY16" s="115">
        <v>159442917</v>
      </c>
      <c r="AZ16" s="272"/>
      <c r="BA16" s="115">
        <v>13333589120</v>
      </c>
      <c r="BB16" s="115">
        <v>7533466280</v>
      </c>
      <c r="BC16" s="115">
        <v>5333435648</v>
      </c>
      <c r="BD16" s="115">
        <f>BA16-BB16-BC16</f>
        <v>466687192</v>
      </c>
      <c r="BE16" s="115" t="s">
        <v>185</v>
      </c>
      <c r="BF16" s="115">
        <v>484699</v>
      </c>
      <c r="BG16" s="272" t="s">
        <v>185</v>
      </c>
      <c r="BH16" s="272">
        <v>250</v>
      </c>
      <c r="BI16" s="111">
        <v>59.4</v>
      </c>
    </row>
    <row r="17" spans="1:61" s="74" customFormat="1" ht="15" customHeight="1">
      <c r="A17" s="109">
        <v>2010</v>
      </c>
      <c r="B17" s="275"/>
      <c r="C17" s="275"/>
      <c r="D17" s="115">
        <v>697.1</v>
      </c>
      <c r="E17" s="275"/>
      <c r="F17" s="109">
        <v>1216</v>
      </c>
      <c r="G17" s="256"/>
      <c r="H17" s="275"/>
      <c r="I17" s="115">
        <v>480</v>
      </c>
      <c r="J17" s="115">
        <v>416.6</v>
      </c>
      <c r="K17" s="115">
        <v>61.8</v>
      </c>
      <c r="L17" s="112">
        <v>10.88</v>
      </c>
      <c r="M17" s="187">
        <v>1.041</v>
      </c>
      <c r="N17" s="115">
        <v>817</v>
      </c>
      <c r="O17" s="112">
        <v>67.966</v>
      </c>
      <c r="P17" s="112">
        <v>11.5</v>
      </c>
      <c r="Q17" s="112">
        <v>52.986</v>
      </c>
      <c r="R17" s="112">
        <v>23.521</v>
      </c>
      <c r="S17" s="112">
        <v>22.41</v>
      </c>
      <c r="T17" s="112">
        <v>1.11</v>
      </c>
      <c r="U17" s="112">
        <v>24.43</v>
      </c>
      <c r="V17" s="112">
        <v>5.003</v>
      </c>
      <c r="W17" s="275"/>
      <c r="X17" s="115">
        <v>1215</v>
      </c>
      <c r="Y17" s="115">
        <v>406.8</v>
      </c>
      <c r="Z17" s="112">
        <v>8.69</v>
      </c>
      <c r="AA17" s="114">
        <v>429</v>
      </c>
      <c r="AB17" s="114">
        <v>15600</v>
      </c>
      <c r="AC17" s="112">
        <v>37.671</v>
      </c>
      <c r="AD17" s="112">
        <v>21.666</v>
      </c>
      <c r="AE17" s="112">
        <v>11.937</v>
      </c>
      <c r="AF17" s="112">
        <v>37.671</v>
      </c>
      <c r="AG17" s="112">
        <v>37.671</v>
      </c>
      <c r="AH17" s="115">
        <v>2261978292</v>
      </c>
      <c r="AI17" s="115">
        <v>991838398.8800001</v>
      </c>
      <c r="AJ17" s="115">
        <v>1270139893.1200001</v>
      </c>
      <c r="AK17" s="115">
        <v>1403086986.5600002</v>
      </c>
      <c r="AL17" s="115">
        <v>858891305.44</v>
      </c>
      <c r="AM17" s="115">
        <v>595097584</v>
      </c>
      <c r="AN17" s="115">
        <v>641348508</v>
      </c>
      <c r="AO17" s="115">
        <v>166640893</v>
      </c>
      <c r="AP17" s="275">
        <v>0</v>
      </c>
      <c r="AQ17" s="115">
        <v>396740814</v>
      </c>
      <c r="AR17" s="115">
        <v>462150491</v>
      </c>
      <c r="AS17" s="115">
        <v>2261978292</v>
      </c>
      <c r="AT17" s="116">
        <v>2232230764</v>
      </c>
      <c r="AU17" s="115">
        <v>1008922707</v>
      </c>
      <c r="AV17" s="115">
        <v>875427496</v>
      </c>
      <c r="AW17" s="115">
        <v>347880561</v>
      </c>
      <c r="AX17" s="115">
        <v>853942741</v>
      </c>
      <c r="AY17" s="115">
        <v>179849386</v>
      </c>
      <c r="AZ17" s="273"/>
      <c r="BA17" s="115">
        <v>26932179000</v>
      </c>
      <c r="BB17" s="115">
        <v>14596236582</v>
      </c>
      <c r="BC17" s="115">
        <v>11658987541</v>
      </c>
      <c r="BD17" s="115">
        <f>BA17-BB17-BC17</f>
        <v>676954877</v>
      </c>
      <c r="BE17" s="115" t="s">
        <v>185</v>
      </c>
      <c r="BF17" s="115">
        <v>690836</v>
      </c>
      <c r="BG17" s="273" t="s">
        <v>185</v>
      </c>
      <c r="BH17" s="273">
        <v>250</v>
      </c>
      <c r="BI17" s="111">
        <v>66.2</v>
      </c>
    </row>
    <row r="18" spans="1:60" s="74" customFormat="1" ht="6" customHeight="1">
      <c r="A18" s="76"/>
      <c r="B18" s="81"/>
      <c r="C18" s="81"/>
      <c r="D18" s="75"/>
      <c r="E18" s="78"/>
      <c r="H18" s="82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4"/>
      <c r="U18" s="83"/>
      <c r="V18" s="83"/>
      <c r="W18" s="83"/>
      <c r="X18" s="78"/>
      <c r="Y18" s="83"/>
      <c r="Z18" s="83"/>
      <c r="AA18" s="83"/>
      <c r="AB18" s="78"/>
      <c r="AC18" s="83"/>
      <c r="AD18" s="83"/>
      <c r="AE18" s="83"/>
      <c r="AF18" s="83"/>
      <c r="AG18" s="83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85"/>
    </row>
    <row r="19" spans="1:61" s="74" customFormat="1" ht="15" customHeight="1">
      <c r="A19" s="188">
        <v>2000</v>
      </c>
      <c r="B19" s="236" t="s">
        <v>209</v>
      </c>
      <c r="C19" s="236" t="s">
        <v>210</v>
      </c>
      <c r="D19" s="190">
        <v>1134.2</v>
      </c>
      <c r="E19" s="254">
        <v>1</v>
      </c>
      <c r="F19" s="191">
        <v>2642</v>
      </c>
      <c r="G19" s="254" t="s">
        <v>211</v>
      </c>
      <c r="H19" s="254" t="s">
        <v>187</v>
      </c>
      <c r="I19" s="190">
        <v>1134.2</v>
      </c>
      <c r="J19" s="190">
        <v>1106.01</v>
      </c>
      <c r="K19" s="190">
        <v>28.19</v>
      </c>
      <c r="L19" s="192"/>
      <c r="M19" s="192"/>
      <c r="N19" s="190">
        <v>2272</v>
      </c>
      <c r="O19" s="192">
        <v>257.09</v>
      </c>
      <c r="P19" s="192">
        <v>177.1</v>
      </c>
      <c r="Q19" s="192">
        <v>177.1</v>
      </c>
      <c r="R19" s="192">
        <v>65.65</v>
      </c>
      <c r="S19" s="192">
        <v>65.37</v>
      </c>
      <c r="T19" s="192">
        <v>0.28</v>
      </c>
      <c r="U19" s="192">
        <v>96.06</v>
      </c>
      <c r="V19" s="192">
        <v>15.39</v>
      </c>
      <c r="W19" s="254" t="s">
        <v>185</v>
      </c>
      <c r="X19" s="190">
        <v>1992</v>
      </c>
      <c r="Y19" s="190">
        <v>908.9</v>
      </c>
      <c r="Z19" s="192"/>
      <c r="AA19" s="193">
        <v>1184</v>
      </c>
      <c r="AB19" s="193">
        <v>45</v>
      </c>
      <c r="AC19" s="192">
        <v>153.3</v>
      </c>
      <c r="AD19" s="192">
        <v>73.8</v>
      </c>
      <c r="AE19" s="192">
        <v>43.28</v>
      </c>
      <c r="AF19" s="192">
        <v>153.3</v>
      </c>
      <c r="AG19" s="192">
        <v>153.3</v>
      </c>
      <c r="AH19" s="190">
        <v>2045788000</v>
      </c>
      <c r="AI19" s="190">
        <v>916160634</v>
      </c>
      <c r="AJ19" s="190">
        <v>1129627366</v>
      </c>
      <c r="AK19" s="190">
        <v>1404376000</v>
      </c>
      <c r="AL19" s="190">
        <v>641412000</v>
      </c>
      <c r="AM19" s="190">
        <v>520596847</v>
      </c>
      <c r="AN19" s="190">
        <v>770810593</v>
      </c>
      <c r="AO19" s="190">
        <v>112968560</v>
      </c>
      <c r="AP19" s="254" t="s">
        <v>185</v>
      </c>
      <c r="AQ19" s="190">
        <v>395563787</v>
      </c>
      <c r="AR19" s="190">
        <v>245848213</v>
      </c>
      <c r="AS19" s="190"/>
      <c r="AT19" s="190">
        <v>1783030000</v>
      </c>
      <c r="AU19" s="190">
        <v>1289115000</v>
      </c>
      <c r="AV19" s="190">
        <v>493915000</v>
      </c>
      <c r="AW19" s="190"/>
      <c r="AX19" s="190"/>
      <c r="AY19" s="190"/>
      <c r="AZ19" s="254" t="s">
        <v>185</v>
      </c>
      <c r="BA19" s="190">
        <v>3188931000</v>
      </c>
      <c r="BB19" s="190">
        <v>1753912050</v>
      </c>
      <c r="BC19" s="190">
        <v>1435018950</v>
      </c>
      <c r="BD19" s="254" t="s">
        <v>185</v>
      </c>
      <c r="BE19" s="190">
        <v>884370622</v>
      </c>
      <c r="BF19" s="254" t="s">
        <v>185</v>
      </c>
      <c r="BG19" s="254" t="s">
        <v>185</v>
      </c>
      <c r="BH19" s="254">
        <v>280</v>
      </c>
      <c r="BI19" s="188"/>
    </row>
    <row r="20" spans="1:61" s="74" customFormat="1" ht="15" customHeight="1">
      <c r="A20" s="188">
        <v>2001</v>
      </c>
      <c r="B20" s="237"/>
      <c r="C20" s="237"/>
      <c r="D20" s="190">
        <v>1136.1</v>
      </c>
      <c r="E20" s="255">
        <v>1</v>
      </c>
      <c r="F20" s="191">
        <v>2498</v>
      </c>
      <c r="G20" s="255" t="s">
        <v>211</v>
      </c>
      <c r="H20" s="255" t="s">
        <v>187</v>
      </c>
      <c r="I20" s="190">
        <v>1136.1</v>
      </c>
      <c r="J20" s="190">
        <v>1115.41</v>
      </c>
      <c r="K20" s="190">
        <v>20.69</v>
      </c>
      <c r="L20" s="192"/>
      <c r="M20" s="192"/>
      <c r="N20" s="190">
        <v>2289</v>
      </c>
      <c r="O20" s="192">
        <v>246.06</v>
      </c>
      <c r="P20" s="192">
        <v>164.56</v>
      </c>
      <c r="Q20" s="192">
        <v>164.56</v>
      </c>
      <c r="R20" s="192">
        <v>62.99</v>
      </c>
      <c r="S20" s="192">
        <v>62.73</v>
      </c>
      <c r="T20" s="192">
        <v>0.26</v>
      </c>
      <c r="U20" s="192">
        <v>87.11</v>
      </c>
      <c r="V20" s="192">
        <v>14.46</v>
      </c>
      <c r="W20" s="255" t="s">
        <v>185</v>
      </c>
      <c r="X20" s="190">
        <v>2267</v>
      </c>
      <c r="Y20" s="190">
        <v>910.7</v>
      </c>
      <c r="Z20" s="192"/>
      <c r="AA20" s="193">
        <v>1195</v>
      </c>
      <c r="AB20" s="193">
        <v>48</v>
      </c>
      <c r="AC20" s="192">
        <v>141.7</v>
      </c>
      <c r="AD20" s="192">
        <v>69.41</v>
      </c>
      <c r="AE20" s="192">
        <v>41.53</v>
      </c>
      <c r="AF20" s="192">
        <v>141.7</v>
      </c>
      <c r="AG20" s="192">
        <v>141.7</v>
      </c>
      <c r="AH20" s="190">
        <v>1898566000</v>
      </c>
      <c r="AI20" s="190">
        <v>871514453</v>
      </c>
      <c r="AJ20" s="190">
        <v>1027051547</v>
      </c>
      <c r="AK20" s="190">
        <v>1304960000</v>
      </c>
      <c r="AL20" s="190">
        <v>593606000</v>
      </c>
      <c r="AM20" s="190">
        <v>499497703</v>
      </c>
      <c r="AN20" s="190">
        <v>700861117</v>
      </c>
      <c r="AO20" s="190">
        <v>104601180</v>
      </c>
      <c r="AP20" s="255" t="s">
        <v>185</v>
      </c>
      <c r="AQ20" s="190">
        <v>372016750</v>
      </c>
      <c r="AR20" s="190">
        <v>221589250</v>
      </c>
      <c r="AS20" s="190"/>
      <c r="AT20" s="190">
        <v>1719374000</v>
      </c>
      <c r="AU20" s="190">
        <v>1271839000</v>
      </c>
      <c r="AV20" s="190">
        <v>447535000</v>
      </c>
      <c r="AW20" s="190"/>
      <c r="AX20" s="190"/>
      <c r="AY20" s="190"/>
      <c r="AZ20" s="255" t="s">
        <v>185</v>
      </c>
      <c r="BA20" s="190">
        <v>3168219000</v>
      </c>
      <c r="BB20" s="190">
        <v>1742520450</v>
      </c>
      <c r="BC20" s="190">
        <v>1425698550</v>
      </c>
      <c r="BD20" s="255" t="s">
        <v>185</v>
      </c>
      <c r="BE20" s="190">
        <v>760504001</v>
      </c>
      <c r="BF20" s="255" t="s">
        <v>185</v>
      </c>
      <c r="BG20" s="255" t="s">
        <v>185</v>
      </c>
      <c r="BH20" s="255"/>
      <c r="BI20" s="188"/>
    </row>
    <row r="21" spans="1:61" s="74" customFormat="1" ht="15" customHeight="1">
      <c r="A21" s="188">
        <v>2002</v>
      </c>
      <c r="B21" s="237"/>
      <c r="C21" s="237"/>
      <c r="D21" s="190">
        <v>1141.5</v>
      </c>
      <c r="E21" s="255">
        <v>1</v>
      </c>
      <c r="F21" s="191">
        <v>2538</v>
      </c>
      <c r="G21" s="255" t="s">
        <v>211</v>
      </c>
      <c r="H21" s="255" t="s">
        <v>187</v>
      </c>
      <c r="I21" s="190">
        <v>1141.5</v>
      </c>
      <c r="J21" s="190">
        <v>1120.04</v>
      </c>
      <c r="K21" s="190">
        <v>21.46</v>
      </c>
      <c r="L21" s="192">
        <v>7.73</v>
      </c>
      <c r="M21" s="192">
        <v>7.73</v>
      </c>
      <c r="N21" s="190">
        <v>2288</v>
      </c>
      <c r="O21" s="192">
        <v>240.12</v>
      </c>
      <c r="P21" s="192">
        <v>150.41</v>
      </c>
      <c r="Q21" s="192">
        <v>150.41</v>
      </c>
      <c r="R21" s="192">
        <v>59.03</v>
      </c>
      <c r="S21" s="192">
        <v>58.77</v>
      </c>
      <c r="T21" s="192">
        <v>0.26</v>
      </c>
      <c r="U21" s="192">
        <v>78.47</v>
      </c>
      <c r="V21" s="192">
        <v>12.91</v>
      </c>
      <c r="W21" s="255" t="s">
        <v>185</v>
      </c>
      <c r="X21" s="190">
        <v>2742</v>
      </c>
      <c r="Y21" s="190">
        <v>916.1</v>
      </c>
      <c r="Z21" s="192">
        <v>4.6</v>
      </c>
      <c r="AA21" s="193">
        <v>1197</v>
      </c>
      <c r="AB21" s="193">
        <v>36</v>
      </c>
      <c r="AC21" s="192">
        <v>139.6</v>
      </c>
      <c r="AD21" s="192">
        <v>63.58</v>
      </c>
      <c r="AE21" s="192">
        <v>40.29</v>
      </c>
      <c r="AF21" s="192">
        <v>139.6</v>
      </c>
      <c r="AG21" s="192">
        <v>139.6</v>
      </c>
      <c r="AH21" s="190">
        <v>1907345000</v>
      </c>
      <c r="AI21" s="190">
        <v>877782157</v>
      </c>
      <c r="AJ21" s="190">
        <v>1029562843</v>
      </c>
      <c r="AK21" s="190">
        <v>1337788000</v>
      </c>
      <c r="AL21" s="190">
        <v>569557000</v>
      </c>
      <c r="AM21" s="190">
        <v>530364934</v>
      </c>
      <c r="AN21" s="190">
        <v>691465077</v>
      </c>
      <c r="AO21" s="190">
        <v>115957989</v>
      </c>
      <c r="AP21" s="255" t="s">
        <v>185</v>
      </c>
      <c r="AQ21" s="190">
        <v>347417223</v>
      </c>
      <c r="AR21" s="190">
        <v>222139777</v>
      </c>
      <c r="AS21" s="190">
        <v>2105465717</v>
      </c>
      <c r="AT21" s="190">
        <v>1713896000</v>
      </c>
      <c r="AU21" s="190">
        <v>1290627000</v>
      </c>
      <c r="AV21" s="190">
        <v>423269000</v>
      </c>
      <c r="AW21" s="190"/>
      <c r="AX21" s="190"/>
      <c r="AY21" s="190"/>
      <c r="AZ21" s="255" t="s">
        <v>185</v>
      </c>
      <c r="BA21" s="190">
        <v>3166299000</v>
      </c>
      <c r="BB21" s="190">
        <v>1741464450</v>
      </c>
      <c r="BC21" s="190">
        <v>1424834550</v>
      </c>
      <c r="BD21" s="255" t="s">
        <v>185</v>
      </c>
      <c r="BE21" s="190">
        <v>770501082</v>
      </c>
      <c r="BF21" s="255" t="s">
        <v>185</v>
      </c>
      <c r="BG21" s="255" t="s">
        <v>185</v>
      </c>
      <c r="BH21" s="255"/>
      <c r="BI21" s="188"/>
    </row>
    <row r="22" spans="1:61" s="74" customFormat="1" ht="15" customHeight="1">
      <c r="A22" s="188">
        <v>2003</v>
      </c>
      <c r="B22" s="237"/>
      <c r="C22" s="237"/>
      <c r="D22" s="190">
        <v>1198.3</v>
      </c>
      <c r="E22" s="255">
        <v>1</v>
      </c>
      <c r="F22" s="191">
        <v>2458</v>
      </c>
      <c r="G22" s="255" t="s">
        <v>211</v>
      </c>
      <c r="H22" s="255" t="s">
        <v>187</v>
      </c>
      <c r="I22" s="190">
        <v>1198.3</v>
      </c>
      <c r="J22" s="190">
        <v>1176.47</v>
      </c>
      <c r="K22" s="190">
        <v>21.83</v>
      </c>
      <c r="L22" s="192">
        <v>7.73</v>
      </c>
      <c r="M22" s="192">
        <v>7.73</v>
      </c>
      <c r="N22" s="190">
        <v>2290</v>
      </c>
      <c r="O22" s="192">
        <v>241.5</v>
      </c>
      <c r="P22" s="192">
        <v>151.14</v>
      </c>
      <c r="Q22" s="192">
        <v>151.14</v>
      </c>
      <c r="R22" s="192">
        <v>56.55</v>
      </c>
      <c r="S22" s="192">
        <v>56.3</v>
      </c>
      <c r="T22" s="192">
        <v>0.25</v>
      </c>
      <c r="U22" s="192">
        <v>82.43</v>
      </c>
      <c r="V22" s="192">
        <v>12.16</v>
      </c>
      <c r="W22" s="255" t="s">
        <v>185</v>
      </c>
      <c r="X22" s="190">
        <v>2825</v>
      </c>
      <c r="Y22" s="190">
        <v>920.22</v>
      </c>
      <c r="Z22" s="192">
        <v>4.6</v>
      </c>
      <c r="AA22" s="193">
        <v>1202</v>
      </c>
      <c r="AB22" s="193">
        <v>44</v>
      </c>
      <c r="AC22" s="192">
        <v>138.2</v>
      </c>
      <c r="AD22" s="192">
        <v>59.74</v>
      </c>
      <c r="AE22" s="192">
        <v>41.48</v>
      </c>
      <c r="AF22" s="192">
        <v>138.2</v>
      </c>
      <c r="AG22" s="192">
        <v>138.2</v>
      </c>
      <c r="AH22" s="190">
        <v>1970351000</v>
      </c>
      <c r="AI22" s="190">
        <v>856192634</v>
      </c>
      <c r="AJ22" s="190">
        <v>1114158366</v>
      </c>
      <c r="AK22" s="190">
        <v>1412919000</v>
      </c>
      <c r="AL22" s="190">
        <v>557432000</v>
      </c>
      <c r="AM22" s="190">
        <v>527625224</v>
      </c>
      <c r="AN22" s="190">
        <v>769269282</v>
      </c>
      <c r="AO22" s="190">
        <v>116024494</v>
      </c>
      <c r="AP22" s="255" t="s">
        <v>185</v>
      </c>
      <c r="AQ22" s="190">
        <v>328567410</v>
      </c>
      <c r="AR22" s="190">
        <v>228864590</v>
      </c>
      <c r="AS22" s="190">
        <v>2428349059</v>
      </c>
      <c r="AT22" s="190">
        <v>1802834000</v>
      </c>
      <c r="AU22" s="190">
        <v>1352307000</v>
      </c>
      <c r="AV22" s="190">
        <v>450527000</v>
      </c>
      <c r="AW22" s="190"/>
      <c r="AX22" s="190"/>
      <c r="AY22" s="190"/>
      <c r="AZ22" s="255" t="s">
        <v>185</v>
      </c>
      <c r="BA22" s="190">
        <v>3198429000</v>
      </c>
      <c r="BB22" s="190">
        <v>1759135950</v>
      </c>
      <c r="BC22" s="190">
        <v>1439293050</v>
      </c>
      <c r="BD22" s="255" t="s">
        <v>185</v>
      </c>
      <c r="BE22" s="190">
        <v>795328391</v>
      </c>
      <c r="BF22" s="255" t="s">
        <v>185</v>
      </c>
      <c r="BG22" s="255" t="s">
        <v>185</v>
      </c>
      <c r="BH22" s="255"/>
      <c r="BI22" s="188"/>
    </row>
    <row r="23" spans="1:61" s="74" customFormat="1" ht="15" customHeight="1">
      <c r="A23" s="188">
        <v>2004</v>
      </c>
      <c r="B23" s="237"/>
      <c r="C23" s="237"/>
      <c r="D23" s="190">
        <v>1240</v>
      </c>
      <c r="E23" s="255">
        <v>1</v>
      </c>
      <c r="F23" s="191">
        <v>2450</v>
      </c>
      <c r="G23" s="255" t="s">
        <v>211</v>
      </c>
      <c r="H23" s="255" t="s">
        <v>187</v>
      </c>
      <c r="I23" s="190">
        <v>1240</v>
      </c>
      <c r="J23" s="190">
        <v>1218.24</v>
      </c>
      <c r="K23" s="190">
        <v>21.76</v>
      </c>
      <c r="L23" s="192">
        <v>7.95</v>
      </c>
      <c r="M23" s="192">
        <v>7.95</v>
      </c>
      <c r="N23" s="190">
        <v>2290</v>
      </c>
      <c r="O23" s="192">
        <v>242.95</v>
      </c>
      <c r="P23" s="192">
        <v>151.59</v>
      </c>
      <c r="Q23" s="192">
        <v>151.59</v>
      </c>
      <c r="R23" s="192">
        <v>56.87</v>
      </c>
      <c r="S23" s="192">
        <v>56.55</v>
      </c>
      <c r="T23" s="192">
        <v>0.32</v>
      </c>
      <c r="U23" s="192">
        <v>82.14</v>
      </c>
      <c r="V23" s="192">
        <v>12.58</v>
      </c>
      <c r="W23" s="255" t="s">
        <v>185</v>
      </c>
      <c r="X23" s="190">
        <v>3077</v>
      </c>
      <c r="Y23" s="190">
        <v>933.08</v>
      </c>
      <c r="Z23" s="192">
        <v>4.76</v>
      </c>
      <c r="AA23" s="193">
        <v>1222</v>
      </c>
      <c r="AB23" s="193">
        <v>41</v>
      </c>
      <c r="AC23" s="192">
        <v>138.4</v>
      </c>
      <c r="AD23" s="192">
        <v>59.15</v>
      </c>
      <c r="AE23" s="192">
        <v>42.32</v>
      </c>
      <c r="AF23" s="192">
        <v>138.4</v>
      </c>
      <c r="AG23" s="192">
        <v>138.4</v>
      </c>
      <c r="AH23" s="190">
        <v>2025635000</v>
      </c>
      <c r="AI23" s="190">
        <v>881954362</v>
      </c>
      <c r="AJ23" s="190">
        <v>1143680638</v>
      </c>
      <c r="AK23" s="190">
        <v>1452111000</v>
      </c>
      <c r="AL23" s="190">
        <v>573524000</v>
      </c>
      <c r="AM23" s="190">
        <v>546639498</v>
      </c>
      <c r="AN23" s="190">
        <v>893383102</v>
      </c>
      <c r="AO23" s="190">
        <v>12088400</v>
      </c>
      <c r="AP23" s="255" t="s">
        <v>185</v>
      </c>
      <c r="AQ23" s="190">
        <v>335314864</v>
      </c>
      <c r="AR23" s="190">
        <v>238209136</v>
      </c>
      <c r="AS23" s="190">
        <v>2286853720</v>
      </c>
      <c r="AT23" s="190">
        <v>1838906000</v>
      </c>
      <c r="AU23" s="190">
        <v>1355399000</v>
      </c>
      <c r="AV23" s="190">
        <v>483507000</v>
      </c>
      <c r="AW23" s="190"/>
      <c r="AX23" s="190"/>
      <c r="AY23" s="190"/>
      <c r="AZ23" s="255" t="s">
        <v>185</v>
      </c>
      <c r="BA23" s="190">
        <v>3104384000</v>
      </c>
      <c r="BB23" s="190">
        <v>1707411200</v>
      </c>
      <c r="BC23" s="190">
        <v>1396972800</v>
      </c>
      <c r="BD23" s="255" t="s">
        <v>185</v>
      </c>
      <c r="BE23" s="190">
        <v>789169683</v>
      </c>
      <c r="BF23" s="255" t="s">
        <v>185</v>
      </c>
      <c r="BG23" s="255" t="s">
        <v>185</v>
      </c>
      <c r="BH23" s="255"/>
      <c r="BI23" s="188"/>
    </row>
    <row r="24" spans="1:61" s="74" customFormat="1" ht="15" customHeight="1">
      <c r="A24" s="188">
        <v>2005</v>
      </c>
      <c r="B24" s="237"/>
      <c r="C24" s="237"/>
      <c r="D24" s="190">
        <v>1247.4</v>
      </c>
      <c r="E24" s="255">
        <v>1</v>
      </c>
      <c r="F24" s="191">
        <v>2499</v>
      </c>
      <c r="G24" s="255" t="s">
        <v>211</v>
      </c>
      <c r="H24" s="255" t="s">
        <v>187</v>
      </c>
      <c r="I24" s="190">
        <v>1247.4</v>
      </c>
      <c r="J24" s="190">
        <v>1224.69</v>
      </c>
      <c r="K24" s="190">
        <v>22.71</v>
      </c>
      <c r="L24" s="192">
        <v>12.1</v>
      </c>
      <c r="M24" s="192">
        <v>12.1</v>
      </c>
      <c r="N24" s="190">
        <v>2505</v>
      </c>
      <c r="O24" s="192">
        <v>253.52</v>
      </c>
      <c r="P24" s="192">
        <v>155.33</v>
      </c>
      <c r="Q24" s="192">
        <v>155.33</v>
      </c>
      <c r="R24" s="192">
        <v>59.69</v>
      </c>
      <c r="S24" s="192">
        <v>59.44</v>
      </c>
      <c r="T24" s="192">
        <v>0.25</v>
      </c>
      <c r="U24" s="192">
        <v>82.74</v>
      </c>
      <c r="V24" s="192">
        <v>12.9</v>
      </c>
      <c r="W24" s="255" t="s">
        <v>185</v>
      </c>
      <c r="X24" s="190">
        <v>3121</v>
      </c>
      <c r="Y24" s="190">
        <v>948.13</v>
      </c>
      <c r="Z24" s="192">
        <v>6.52</v>
      </c>
      <c r="AA24" s="193">
        <v>1230</v>
      </c>
      <c r="AB24" s="193">
        <v>35</v>
      </c>
      <c r="AC24" s="192">
        <v>141.6</v>
      </c>
      <c r="AD24" s="192">
        <v>59.94</v>
      </c>
      <c r="AE24" s="192">
        <v>45.41</v>
      </c>
      <c r="AF24" s="192">
        <v>141.6</v>
      </c>
      <c r="AG24" s="192">
        <v>141.6</v>
      </c>
      <c r="AH24" s="189">
        <v>2105935000</v>
      </c>
      <c r="AI24" s="189">
        <v>924237443</v>
      </c>
      <c r="AJ24" s="189">
        <v>1181697557</v>
      </c>
      <c r="AK24" s="189">
        <v>1504511000</v>
      </c>
      <c r="AL24" s="190">
        <v>601424000</v>
      </c>
      <c r="AM24" s="190">
        <v>580168974</v>
      </c>
      <c r="AN24" s="190">
        <v>798973670</v>
      </c>
      <c r="AO24" s="190">
        <v>125368356</v>
      </c>
      <c r="AP24" s="255" t="s">
        <v>185</v>
      </c>
      <c r="AQ24" s="190">
        <v>344068469</v>
      </c>
      <c r="AR24" s="190">
        <v>257355531</v>
      </c>
      <c r="AS24" s="190">
        <v>2592094947</v>
      </c>
      <c r="AT24" s="190">
        <v>2007298000</v>
      </c>
      <c r="AU24" s="190">
        <v>1500439000</v>
      </c>
      <c r="AV24" s="190">
        <v>506859000</v>
      </c>
      <c r="AW24" s="189"/>
      <c r="AX24" s="190"/>
      <c r="AY24" s="190"/>
      <c r="AZ24" s="255" t="s">
        <v>185</v>
      </c>
      <c r="BA24" s="189">
        <v>3557194000</v>
      </c>
      <c r="BB24" s="189">
        <v>1956456700</v>
      </c>
      <c r="BC24" s="189">
        <v>1600737300</v>
      </c>
      <c r="BD24" s="255" t="s">
        <v>185</v>
      </c>
      <c r="BE24" s="189">
        <v>559962260</v>
      </c>
      <c r="BF24" s="255" t="s">
        <v>185</v>
      </c>
      <c r="BG24" s="255" t="s">
        <v>185</v>
      </c>
      <c r="BH24" s="255"/>
      <c r="BI24" s="188"/>
    </row>
    <row r="25" spans="1:61" s="74" customFormat="1" ht="15" customHeight="1">
      <c r="A25" s="188">
        <v>2006</v>
      </c>
      <c r="B25" s="237"/>
      <c r="C25" s="237"/>
      <c r="D25" s="190">
        <v>1280</v>
      </c>
      <c r="E25" s="255">
        <v>1</v>
      </c>
      <c r="F25" s="191">
        <v>2525</v>
      </c>
      <c r="G25" s="255" t="s">
        <v>211</v>
      </c>
      <c r="H25" s="255" t="s">
        <v>187</v>
      </c>
      <c r="I25" s="190">
        <v>1280</v>
      </c>
      <c r="J25" s="190">
        <v>1257.7</v>
      </c>
      <c r="K25" s="190">
        <v>22.3</v>
      </c>
      <c r="L25" s="192">
        <v>12.58</v>
      </c>
      <c r="M25" s="192">
        <v>12.58</v>
      </c>
      <c r="N25" s="190">
        <v>2504</v>
      </c>
      <c r="O25" s="192">
        <v>257.98</v>
      </c>
      <c r="P25" s="192">
        <v>161.48</v>
      </c>
      <c r="Q25" s="192">
        <v>161.48</v>
      </c>
      <c r="R25" s="192">
        <v>62.88</v>
      </c>
      <c r="S25" s="192">
        <v>62.67</v>
      </c>
      <c r="T25" s="192">
        <v>0.21</v>
      </c>
      <c r="U25" s="192">
        <v>85.51</v>
      </c>
      <c r="V25" s="192">
        <v>13.09</v>
      </c>
      <c r="W25" s="255" t="s">
        <v>185</v>
      </c>
      <c r="X25" s="190">
        <v>3079</v>
      </c>
      <c r="Y25" s="190">
        <v>965.5</v>
      </c>
      <c r="Z25" s="192">
        <v>6.94</v>
      </c>
      <c r="AA25" s="193">
        <v>1231</v>
      </c>
      <c r="AB25" s="193">
        <v>33</v>
      </c>
      <c r="AC25" s="192">
        <v>136.4</v>
      </c>
      <c r="AD25" s="192">
        <v>60.54</v>
      </c>
      <c r="AE25" s="192">
        <v>47.5</v>
      </c>
      <c r="AF25" s="192">
        <v>136.4</v>
      </c>
      <c r="AG25" s="192">
        <v>136.4</v>
      </c>
      <c r="AH25" s="189">
        <v>2535788000</v>
      </c>
      <c r="AI25" s="189">
        <v>1132882580</v>
      </c>
      <c r="AJ25" s="189">
        <v>1402905420</v>
      </c>
      <c r="AK25" s="189">
        <v>1818312000</v>
      </c>
      <c r="AL25" s="190">
        <v>717476000</v>
      </c>
      <c r="AM25" s="190">
        <v>723181819</v>
      </c>
      <c r="AN25" s="190">
        <v>944351773</v>
      </c>
      <c r="AO25" s="190">
        <v>150778408</v>
      </c>
      <c r="AP25" s="255" t="s">
        <v>185</v>
      </c>
      <c r="AQ25" s="190">
        <v>409700761</v>
      </c>
      <c r="AR25" s="190">
        <v>307775239</v>
      </c>
      <c r="AS25" s="190">
        <v>2815580008</v>
      </c>
      <c r="AT25" s="190">
        <v>2303611000</v>
      </c>
      <c r="AU25" s="190">
        <v>1586135000</v>
      </c>
      <c r="AV25" s="190">
        <v>717476000</v>
      </c>
      <c r="AW25" s="189"/>
      <c r="AX25" s="190"/>
      <c r="AY25" s="190"/>
      <c r="AZ25" s="255" t="s">
        <v>185</v>
      </c>
      <c r="BA25" s="189">
        <v>3453167000</v>
      </c>
      <c r="BB25" s="189">
        <v>1899241850</v>
      </c>
      <c r="BC25" s="189">
        <v>1553925150</v>
      </c>
      <c r="BD25" s="255" t="s">
        <v>185</v>
      </c>
      <c r="BE25" s="189">
        <v>653775220</v>
      </c>
      <c r="BF25" s="255" t="s">
        <v>185</v>
      </c>
      <c r="BG25" s="255" t="s">
        <v>185</v>
      </c>
      <c r="BH25" s="255"/>
      <c r="BI25" s="188"/>
    </row>
    <row r="26" spans="1:61" s="74" customFormat="1" ht="15" customHeight="1">
      <c r="A26" s="188">
        <v>2007</v>
      </c>
      <c r="B26" s="238"/>
      <c r="C26" s="237"/>
      <c r="D26" s="190">
        <v>1312.2</v>
      </c>
      <c r="E26" s="256">
        <v>1</v>
      </c>
      <c r="F26" s="191">
        <v>2507</v>
      </c>
      <c r="G26" s="255" t="s">
        <v>211</v>
      </c>
      <c r="H26" s="256" t="s">
        <v>187</v>
      </c>
      <c r="I26" s="190">
        <v>1312.2</v>
      </c>
      <c r="J26" s="190">
        <v>1291.86</v>
      </c>
      <c r="K26" s="190">
        <v>20.34</v>
      </c>
      <c r="L26" s="192">
        <v>13.17</v>
      </c>
      <c r="M26" s="192">
        <v>13.17</v>
      </c>
      <c r="N26" s="190">
        <v>2501</v>
      </c>
      <c r="O26" s="192">
        <v>277.09</v>
      </c>
      <c r="P26" s="192">
        <v>172.74</v>
      </c>
      <c r="Q26" s="192">
        <v>172.74</v>
      </c>
      <c r="R26" s="192">
        <v>63.61</v>
      </c>
      <c r="S26" s="192">
        <v>63.46</v>
      </c>
      <c r="T26" s="192">
        <v>0.15</v>
      </c>
      <c r="U26" s="192">
        <v>95.49</v>
      </c>
      <c r="V26" s="192">
        <v>13.64</v>
      </c>
      <c r="W26" s="256" t="s">
        <v>185</v>
      </c>
      <c r="X26" s="190">
        <v>3261</v>
      </c>
      <c r="Y26" s="190">
        <v>985.6</v>
      </c>
      <c r="Z26" s="192">
        <v>7.25</v>
      </c>
      <c r="AA26" s="193">
        <v>1234</v>
      </c>
      <c r="AB26" s="193">
        <v>50</v>
      </c>
      <c r="AC26" s="192">
        <v>138.3</v>
      </c>
      <c r="AD26" s="192">
        <v>64.4</v>
      </c>
      <c r="AE26" s="192">
        <v>60.13</v>
      </c>
      <c r="AF26" s="192">
        <v>138.3</v>
      </c>
      <c r="AG26" s="192">
        <v>138.3</v>
      </c>
      <c r="AH26" s="189">
        <v>3423923000</v>
      </c>
      <c r="AI26" s="189">
        <v>1311953739</v>
      </c>
      <c r="AJ26" s="189">
        <v>2111969261</v>
      </c>
      <c r="AK26" s="189">
        <v>2432344000</v>
      </c>
      <c r="AL26" s="190">
        <v>991579000</v>
      </c>
      <c r="AM26" s="190">
        <v>832526213</v>
      </c>
      <c r="AN26" s="190">
        <v>1421118332</v>
      </c>
      <c r="AO26" s="190">
        <v>178699455</v>
      </c>
      <c r="AP26" s="256" t="s">
        <v>185</v>
      </c>
      <c r="AQ26" s="190">
        <v>479427526</v>
      </c>
      <c r="AR26" s="190">
        <v>512151474</v>
      </c>
      <c r="AS26" s="190">
        <v>2781655819</v>
      </c>
      <c r="AT26" s="190">
        <v>3364784000</v>
      </c>
      <c r="AU26" s="190">
        <v>2460998000</v>
      </c>
      <c r="AV26" s="190">
        <v>903786000</v>
      </c>
      <c r="AW26" s="189"/>
      <c r="AX26" s="190"/>
      <c r="AY26" s="190"/>
      <c r="AZ26" s="256" t="s">
        <v>185</v>
      </c>
      <c r="BA26" s="189">
        <v>3663849000</v>
      </c>
      <c r="BB26" s="189">
        <v>2015116950</v>
      </c>
      <c r="BC26" s="189">
        <v>1648732050</v>
      </c>
      <c r="BD26" s="256" t="s">
        <v>185</v>
      </c>
      <c r="BE26" s="189">
        <v>1503892321</v>
      </c>
      <c r="BF26" s="256" t="s">
        <v>185</v>
      </c>
      <c r="BG26" s="256" t="s">
        <v>185</v>
      </c>
      <c r="BH26" s="255"/>
      <c r="BI26" s="188"/>
    </row>
    <row r="27" spans="1:61" s="74" customFormat="1" ht="27" customHeight="1">
      <c r="A27" s="189" t="s">
        <v>315</v>
      </c>
      <c r="B27" s="236" t="s">
        <v>212</v>
      </c>
      <c r="C27" s="237"/>
      <c r="D27" s="190"/>
      <c r="E27" s="189"/>
      <c r="F27" s="189">
        <v>739</v>
      </c>
      <c r="G27" s="255" t="s">
        <v>211</v>
      </c>
      <c r="H27" s="254" t="s">
        <v>213</v>
      </c>
      <c r="I27" s="194"/>
      <c r="J27" s="194"/>
      <c r="K27" s="194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94">
        <v>701.44</v>
      </c>
      <c r="Z27" s="189">
        <v>7.89</v>
      </c>
      <c r="AA27" s="194">
        <v>1264.02</v>
      </c>
      <c r="AB27" s="189">
        <v>13421</v>
      </c>
      <c r="AC27" s="189">
        <v>15.01</v>
      </c>
      <c r="AD27" s="189">
        <v>7.12</v>
      </c>
      <c r="AE27" s="189">
        <v>5.98</v>
      </c>
      <c r="AF27" s="189">
        <v>136.39</v>
      </c>
      <c r="AG27" s="189">
        <v>134.59</v>
      </c>
      <c r="AH27" s="189"/>
      <c r="AI27" s="189"/>
      <c r="AJ27" s="189">
        <v>49310308</v>
      </c>
      <c r="AK27" s="189"/>
      <c r="AL27" s="190">
        <v>123871852</v>
      </c>
      <c r="AM27" s="190">
        <v>58731238</v>
      </c>
      <c r="AN27" s="190">
        <v>49310308</v>
      </c>
      <c r="AO27" s="190">
        <v>15830306</v>
      </c>
      <c r="AP27" s="254" t="s">
        <v>185</v>
      </c>
      <c r="AQ27" s="190"/>
      <c r="AR27" s="190"/>
      <c r="AS27" s="190">
        <v>30631030</v>
      </c>
      <c r="AT27" s="190">
        <v>199377313</v>
      </c>
      <c r="AU27" s="190"/>
      <c r="AV27" s="190">
        <v>199377313</v>
      </c>
      <c r="AW27" s="189"/>
      <c r="AX27" s="189">
        <v>73106378</v>
      </c>
      <c r="AY27" s="189">
        <v>51051851</v>
      </c>
      <c r="AZ27" s="189">
        <v>72915287</v>
      </c>
      <c r="BA27" s="189">
        <v>7101396668</v>
      </c>
      <c r="BB27" s="189"/>
      <c r="BC27" s="189">
        <v>7101396668</v>
      </c>
      <c r="BD27" s="254" t="s">
        <v>185</v>
      </c>
      <c r="BE27" s="189">
        <v>117711722</v>
      </c>
      <c r="BF27" s="254" t="s">
        <v>185</v>
      </c>
      <c r="BG27" s="254" t="s">
        <v>185</v>
      </c>
      <c r="BH27" s="255"/>
      <c r="BI27" s="190"/>
    </row>
    <row r="28" spans="1:61" s="74" customFormat="1" ht="15" customHeight="1">
      <c r="A28" s="189">
        <v>2009</v>
      </c>
      <c r="B28" s="237"/>
      <c r="C28" s="237"/>
      <c r="D28" s="190"/>
      <c r="E28" s="189"/>
      <c r="F28" s="189">
        <v>824</v>
      </c>
      <c r="G28" s="255" t="s">
        <v>211</v>
      </c>
      <c r="H28" s="255" t="s">
        <v>213</v>
      </c>
      <c r="I28" s="194"/>
      <c r="J28" s="194"/>
      <c r="K28" s="194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94">
        <v>762.68</v>
      </c>
      <c r="Z28" s="189">
        <v>8.57</v>
      </c>
      <c r="AA28" s="194">
        <v>1382.82</v>
      </c>
      <c r="AB28" s="189">
        <v>10666</v>
      </c>
      <c r="AC28" s="189">
        <v>121.27</v>
      </c>
      <c r="AD28" s="189">
        <v>65.21</v>
      </c>
      <c r="AE28" s="189">
        <v>41.75</v>
      </c>
      <c r="AF28" s="189">
        <v>128.01</v>
      </c>
      <c r="AG28" s="189">
        <v>126.61</v>
      </c>
      <c r="AH28" s="189">
        <v>2857578021</v>
      </c>
      <c r="AI28" s="189">
        <v>1830462203</v>
      </c>
      <c r="AJ28" s="189">
        <v>1654573240</v>
      </c>
      <c r="AK28" s="189"/>
      <c r="AL28" s="190">
        <v>2857578021</v>
      </c>
      <c r="AM28" s="190">
        <v>607434067</v>
      </c>
      <c r="AN28" s="190">
        <v>1654573240</v>
      </c>
      <c r="AO28" s="190">
        <v>595570714</v>
      </c>
      <c r="AP28" s="255" t="s">
        <v>185</v>
      </c>
      <c r="AQ28" s="190"/>
      <c r="AR28" s="190"/>
      <c r="AS28" s="190">
        <v>2567544155</v>
      </c>
      <c r="AT28" s="190">
        <v>2891531000</v>
      </c>
      <c r="AU28" s="190"/>
      <c r="AV28" s="190">
        <v>2891531000</v>
      </c>
      <c r="AW28" s="189"/>
      <c r="AX28" s="189">
        <v>714047000</v>
      </c>
      <c r="AY28" s="189">
        <v>289684000</v>
      </c>
      <c r="AZ28" s="189">
        <v>1249470522</v>
      </c>
      <c r="BA28" s="189">
        <v>7151348890</v>
      </c>
      <c r="BB28" s="189"/>
      <c r="BC28" s="189">
        <v>7151348890</v>
      </c>
      <c r="BD28" s="255" t="s">
        <v>185</v>
      </c>
      <c r="BE28" s="189">
        <v>852299692</v>
      </c>
      <c r="BF28" s="255" t="s">
        <v>185</v>
      </c>
      <c r="BG28" s="255" t="s">
        <v>185</v>
      </c>
      <c r="BH28" s="255"/>
      <c r="BI28" s="190"/>
    </row>
    <row r="29" spans="1:61" s="74" customFormat="1" ht="15" customHeight="1">
      <c r="A29" s="189">
        <v>2010</v>
      </c>
      <c r="B29" s="238"/>
      <c r="C29" s="237"/>
      <c r="D29" s="190"/>
      <c r="E29" s="189"/>
      <c r="F29" s="189">
        <v>859</v>
      </c>
      <c r="G29" s="255" t="s">
        <v>211</v>
      </c>
      <c r="H29" s="255" t="s">
        <v>213</v>
      </c>
      <c r="I29" s="194"/>
      <c r="J29" s="194"/>
      <c r="K29" s="194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94">
        <v>787.2</v>
      </c>
      <c r="Z29" s="189">
        <v>10.58</v>
      </c>
      <c r="AA29" s="194">
        <v>1384.51</v>
      </c>
      <c r="AB29" s="189">
        <v>10167</v>
      </c>
      <c r="AC29" s="189">
        <v>120.03</v>
      </c>
      <c r="AD29" s="189">
        <v>65.2</v>
      </c>
      <c r="AE29" s="189">
        <v>40.15</v>
      </c>
      <c r="AF29" s="189">
        <v>129.07</v>
      </c>
      <c r="AG29" s="189">
        <v>123.07</v>
      </c>
      <c r="AH29" s="189">
        <v>2818058420</v>
      </c>
      <c r="AI29" s="189">
        <v>2032020962</v>
      </c>
      <c r="AJ29" s="189">
        <v>1587535492</v>
      </c>
      <c r="AK29" s="189"/>
      <c r="AL29" s="190">
        <v>2818058209</v>
      </c>
      <c r="AM29" s="190">
        <v>657862735</v>
      </c>
      <c r="AN29" s="190">
        <v>1587535492</v>
      </c>
      <c r="AO29" s="190">
        <v>572659982</v>
      </c>
      <c r="AP29" s="255" t="s">
        <v>185</v>
      </c>
      <c r="AQ29" s="190"/>
      <c r="AR29" s="190"/>
      <c r="AS29" s="190">
        <v>2580880709</v>
      </c>
      <c r="AT29" s="190">
        <v>2816418000</v>
      </c>
      <c r="AU29" s="190"/>
      <c r="AV29" s="190">
        <v>2816418000</v>
      </c>
      <c r="AW29" s="189"/>
      <c r="AX29" s="189">
        <v>727458000</v>
      </c>
      <c r="AY29" s="189">
        <v>274298489</v>
      </c>
      <c r="AZ29" s="189">
        <v>1108495705</v>
      </c>
      <c r="BA29" s="189">
        <v>7194280690</v>
      </c>
      <c r="BB29" s="189"/>
      <c r="BC29" s="189">
        <v>7194280690</v>
      </c>
      <c r="BD29" s="255" t="s">
        <v>185</v>
      </c>
      <c r="BE29" s="189">
        <v>1283160454</v>
      </c>
      <c r="BF29" s="255" t="s">
        <v>185</v>
      </c>
      <c r="BG29" s="255" t="s">
        <v>185</v>
      </c>
      <c r="BH29" s="255"/>
      <c r="BI29" s="190"/>
    </row>
    <row r="30" spans="1:61" s="74" customFormat="1" ht="19.5" customHeight="1">
      <c r="A30" s="189">
        <v>2008</v>
      </c>
      <c r="B30" s="236" t="s">
        <v>214</v>
      </c>
      <c r="C30" s="237"/>
      <c r="D30" s="190">
        <v>1365.1</v>
      </c>
      <c r="E30" s="236">
        <v>1</v>
      </c>
      <c r="F30" s="189">
        <v>397</v>
      </c>
      <c r="G30" s="255" t="s">
        <v>211</v>
      </c>
      <c r="H30" s="236" t="s">
        <v>213</v>
      </c>
      <c r="I30" s="194"/>
      <c r="J30" s="194"/>
      <c r="K30" s="194">
        <v>27.52</v>
      </c>
      <c r="L30" s="189"/>
      <c r="M30" s="189"/>
      <c r="N30" s="189">
        <v>2534</v>
      </c>
      <c r="O30" s="189"/>
      <c r="P30" s="189"/>
      <c r="Q30" s="189"/>
      <c r="R30" s="189"/>
      <c r="S30" s="189"/>
      <c r="T30" s="189"/>
      <c r="U30" s="189"/>
      <c r="V30" s="189"/>
      <c r="W30" s="189" t="s">
        <v>185</v>
      </c>
      <c r="X30" s="189">
        <v>3282</v>
      </c>
      <c r="Y30" s="194"/>
      <c r="Z30" s="189"/>
      <c r="AA30" s="194"/>
      <c r="AB30" s="189"/>
      <c r="AC30" s="189"/>
      <c r="AD30" s="189"/>
      <c r="AE30" s="189"/>
      <c r="AF30" s="189"/>
      <c r="AG30" s="189"/>
      <c r="AH30" s="189">
        <v>128377611</v>
      </c>
      <c r="AI30" s="189"/>
      <c r="AJ30" s="189"/>
      <c r="AK30" s="189">
        <v>128377611</v>
      </c>
      <c r="AL30" s="190"/>
      <c r="AM30" s="190"/>
      <c r="AN30" s="190"/>
      <c r="AO30" s="190"/>
      <c r="AP30" s="236" t="s">
        <v>185</v>
      </c>
      <c r="AQ30" s="190"/>
      <c r="AR30" s="190"/>
      <c r="AS30" s="190"/>
      <c r="AT30" s="190">
        <v>125857239</v>
      </c>
      <c r="AU30" s="190">
        <v>125857239</v>
      </c>
      <c r="AV30" s="190"/>
      <c r="AW30" s="189"/>
      <c r="AX30" s="189">
        <v>40339872</v>
      </c>
      <c r="AY30" s="189">
        <v>3896849</v>
      </c>
      <c r="AZ30" s="189"/>
      <c r="BA30" s="189">
        <v>10526438775</v>
      </c>
      <c r="BB30" s="189">
        <v>10526438775</v>
      </c>
      <c r="BC30" s="189"/>
      <c r="BD30" s="236" t="s">
        <v>185</v>
      </c>
      <c r="BE30" s="189">
        <v>106742232</v>
      </c>
      <c r="BF30" s="236" t="s">
        <v>185</v>
      </c>
      <c r="BG30" s="236" t="s">
        <v>185</v>
      </c>
      <c r="BH30" s="255"/>
      <c r="BI30" s="190"/>
    </row>
    <row r="31" spans="1:61" s="74" customFormat="1" ht="19.5" customHeight="1">
      <c r="A31" s="189">
        <v>2009</v>
      </c>
      <c r="B31" s="237" t="s">
        <v>214</v>
      </c>
      <c r="C31" s="237"/>
      <c r="D31" s="190">
        <v>1405.46</v>
      </c>
      <c r="E31" s="237">
        <v>1</v>
      </c>
      <c r="F31" s="189">
        <v>633</v>
      </c>
      <c r="G31" s="255" t="s">
        <v>211</v>
      </c>
      <c r="H31" s="237" t="s">
        <v>213</v>
      </c>
      <c r="I31" s="194"/>
      <c r="J31" s="194"/>
      <c r="K31" s="194">
        <v>25.01</v>
      </c>
      <c r="L31" s="189"/>
      <c r="M31" s="189"/>
      <c r="N31" s="189">
        <v>2534</v>
      </c>
      <c r="O31" s="189">
        <v>68</v>
      </c>
      <c r="P31" s="189"/>
      <c r="Q31" s="189"/>
      <c r="R31" s="189"/>
      <c r="S31" s="189"/>
      <c r="T31" s="189"/>
      <c r="U31" s="189"/>
      <c r="V31" s="189"/>
      <c r="W31" s="189" t="s">
        <v>185</v>
      </c>
      <c r="X31" s="189">
        <v>2812</v>
      </c>
      <c r="Y31" s="194"/>
      <c r="Z31" s="189"/>
      <c r="AA31" s="194"/>
      <c r="AB31" s="189"/>
      <c r="AC31" s="189"/>
      <c r="AD31" s="189"/>
      <c r="AE31" s="189"/>
      <c r="AF31" s="189"/>
      <c r="AG31" s="189"/>
      <c r="AH31" s="189">
        <v>3210586073</v>
      </c>
      <c r="AI31" s="189"/>
      <c r="AJ31" s="189"/>
      <c r="AK31" s="189">
        <v>3210586073</v>
      </c>
      <c r="AL31" s="190"/>
      <c r="AM31" s="190"/>
      <c r="AN31" s="190"/>
      <c r="AO31" s="190"/>
      <c r="AP31" s="237" t="s">
        <v>185</v>
      </c>
      <c r="AQ31" s="190"/>
      <c r="AR31" s="190"/>
      <c r="AS31" s="190">
        <v>1604776568</v>
      </c>
      <c r="AT31" s="190">
        <v>3099436532</v>
      </c>
      <c r="AU31" s="190">
        <v>3099436532</v>
      </c>
      <c r="AV31" s="190"/>
      <c r="AW31" s="189"/>
      <c r="AX31" s="189">
        <v>564781271</v>
      </c>
      <c r="AY31" s="189">
        <v>90850568</v>
      </c>
      <c r="AZ31" s="189"/>
      <c r="BA31" s="189">
        <v>10443105742</v>
      </c>
      <c r="BB31" s="189">
        <v>10443105742</v>
      </c>
      <c r="BC31" s="189"/>
      <c r="BD31" s="237" t="s">
        <v>185</v>
      </c>
      <c r="BE31" s="189">
        <v>2098027092</v>
      </c>
      <c r="BF31" s="237" t="s">
        <v>185</v>
      </c>
      <c r="BG31" s="237" t="s">
        <v>185</v>
      </c>
      <c r="BH31" s="255"/>
      <c r="BI31" s="190"/>
    </row>
    <row r="32" spans="1:61" s="74" customFormat="1" ht="19.5" customHeight="1">
      <c r="A32" s="189">
        <v>2010</v>
      </c>
      <c r="B32" s="238" t="s">
        <v>214</v>
      </c>
      <c r="C32" s="237"/>
      <c r="D32" s="190">
        <v>1414.02</v>
      </c>
      <c r="E32" s="237">
        <v>1</v>
      </c>
      <c r="F32" s="189">
        <v>644</v>
      </c>
      <c r="G32" s="255" t="s">
        <v>211</v>
      </c>
      <c r="H32" s="237" t="s">
        <v>213</v>
      </c>
      <c r="I32" s="194"/>
      <c r="J32" s="194"/>
      <c r="K32" s="194">
        <v>24.6</v>
      </c>
      <c r="L32" s="189"/>
      <c r="M32" s="189"/>
      <c r="N32" s="189">
        <v>2549</v>
      </c>
      <c r="O32" s="189">
        <v>67</v>
      </c>
      <c r="P32" s="189"/>
      <c r="Q32" s="189"/>
      <c r="R32" s="189"/>
      <c r="S32" s="189"/>
      <c r="T32" s="189"/>
      <c r="U32" s="189"/>
      <c r="V32" s="189"/>
      <c r="W32" s="189" t="s">
        <v>185</v>
      </c>
      <c r="X32" s="189">
        <v>2390</v>
      </c>
      <c r="Y32" s="194"/>
      <c r="Z32" s="189"/>
      <c r="AA32" s="194"/>
      <c r="AB32" s="189"/>
      <c r="AC32" s="189"/>
      <c r="AD32" s="189"/>
      <c r="AE32" s="189"/>
      <c r="AF32" s="189"/>
      <c r="AG32" s="189"/>
      <c r="AH32" s="189">
        <v>3035490929</v>
      </c>
      <c r="AI32" s="189"/>
      <c r="AJ32" s="189"/>
      <c r="AK32" s="189">
        <v>3035490929</v>
      </c>
      <c r="AL32" s="190"/>
      <c r="AM32" s="190"/>
      <c r="AN32" s="190"/>
      <c r="AO32" s="190"/>
      <c r="AP32" s="237" t="s">
        <v>185</v>
      </c>
      <c r="AQ32" s="190"/>
      <c r="AR32" s="190"/>
      <c r="AS32" s="190">
        <v>2270924577</v>
      </c>
      <c r="AT32" s="190">
        <v>2657706110</v>
      </c>
      <c r="AU32" s="190">
        <v>2657706110</v>
      </c>
      <c r="AV32" s="190"/>
      <c r="AW32" s="189"/>
      <c r="AX32" s="189">
        <v>557696556</v>
      </c>
      <c r="AY32" s="189">
        <v>101149383</v>
      </c>
      <c r="AZ32" s="189"/>
      <c r="BA32" s="189">
        <v>10434523746</v>
      </c>
      <c r="BB32" s="189">
        <v>10434523746</v>
      </c>
      <c r="BC32" s="189"/>
      <c r="BD32" s="237" t="s">
        <v>185</v>
      </c>
      <c r="BE32" s="189">
        <v>3227022229</v>
      </c>
      <c r="BF32" s="237" t="s">
        <v>185</v>
      </c>
      <c r="BG32" s="237" t="s">
        <v>185</v>
      </c>
      <c r="BH32" s="255"/>
      <c r="BI32" s="190"/>
    </row>
    <row r="33" spans="1:61" s="74" customFormat="1" ht="19.5" customHeight="1">
      <c r="A33" s="189">
        <v>2008</v>
      </c>
      <c r="B33" s="236" t="s">
        <v>215</v>
      </c>
      <c r="C33" s="237"/>
      <c r="D33" s="190">
        <v>1365.1</v>
      </c>
      <c r="E33" s="237">
        <v>1</v>
      </c>
      <c r="F33" s="189">
        <v>124</v>
      </c>
      <c r="G33" s="255" t="s">
        <v>211</v>
      </c>
      <c r="H33" s="237" t="s">
        <v>213</v>
      </c>
      <c r="I33" s="194">
        <v>942.33</v>
      </c>
      <c r="J33" s="194">
        <v>942.33</v>
      </c>
      <c r="K33" s="194">
        <v>27.52</v>
      </c>
      <c r="L33" s="189" t="s">
        <v>216</v>
      </c>
      <c r="M33" s="189" t="s">
        <v>216</v>
      </c>
      <c r="N33" s="189">
        <v>111.3</v>
      </c>
      <c r="O33" s="189">
        <v>31.75</v>
      </c>
      <c r="P33" s="189"/>
      <c r="Q33" s="189">
        <v>19.7</v>
      </c>
      <c r="R33" s="189">
        <v>6.33</v>
      </c>
      <c r="S33" s="189">
        <v>6.33</v>
      </c>
      <c r="T33" s="189"/>
      <c r="U33" s="189">
        <v>11.82</v>
      </c>
      <c r="V33" s="189">
        <v>1.54</v>
      </c>
      <c r="W33" s="189" t="s">
        <v>185</v>
      </c>
      <c r="X33" s="189"/>
      <c r="Y33" s="194"/>
      <c r="Z33" s="189"/>
      <c r="AA33" s="194"/>
      <c r="AB33" s="189"/>
      <c r="AC33" s="189"/>
      <c r="AD33" s="189"/>
      <c r="AE33" s="189"/>
      <c r="AF33" s="189"/>
      <c r="AG33" s="189"/>
      <c r="AH33" s="189">
        <v>333688931</v>
      </c>
      <c r="AI33" s="189">
        <v>107299315</v>
      </c>
      <c r="AJ33" s="189">
        <v>200251416</v>
      </c>
      <c r="AK33" s="189">
        <v>333688931</v>
      </c>
      <c r="AL33" s="190"/>
      <c r="AM33" s="190">
        <v>107299315</v>
      </c>
      <c r="AN33" s="190">
        <v>200251416</v>
      </c>
      <c r="AO33" s="190">
        <v>26138200</v>
      </c>
      <c r="AP33" s="237" t="s">
        <v>185</v>
      </c>
      <c r="AQ33" s="190"/>
      <c r="AR33" s="190"/>
      <c r="AS33" s="190">
        <v>65195790</v>
      </c>
      <c r="AT33" s="190">
        <v>434859000</v>
      </c>
      <c r="AU33" s="190">
        <v>434859000</v>
      </c>
      <c r="AV33" s="190"/>
      <c r="AW33" s="189"/>
      <c r="AX33" s="189">
        <v>104453665</v>
      </c>
      <c r="AY33" s="189">
        <v>94411181</v>
      </c>
      <c r="AZ33" s="189"/>
      <c r="BA33" s="189">
        <v>8758096030</v>
      </c>
      <c r="BB33" s="189">
        <v>8758096030</v>
      </c>
      <c r="BC33" s="189"/>
      <c r="BD33" s="237" t="s">
        <v>185</v>
      </c>
      <c r="BE33" s="189">
        <v>313242225</v>
      </c>
      <c r="BF33" s="237" t="s">
        <v>185</v>
      </c>
      <c r="BG33" s="237" t="s">
        <v>185</v>
      </c>
      <c r="BH33" s="255"/>
      <c r="BI33" s="190"/>
    </row>
    <row r="34" spans="1:61" s="74" customFormat="1" ht="19.5" customHeight="1">
      <c r="A34" s="189">
        <v>2009</v>
      </c>
      <c r="B34" s="237" t="s">
        <v>215</v>
      </c>
      <c r="C34" s="237"/>
      <c r="D34" s="190">
        <v>1405.46</v>
      </c>
      <c r="E34" s="237">
        <v>1</v>
      </c>
      <c r="F34" s="189">
        <v>1013</v>
      </c>
      <c r="G34" s="255" t="s">
        <v>211</v>
      </c>
      <c r="H34" s="237" t="s">
        <v>213</v>
      </c>
      <c r="I34" s="194">
        <v>1007.32</v>
      </c>
      <c r="J34" s="194">
        <v>1007.32</v>
      </c>
      <c r="K34" s="194">
        <v>25.01</v>
      </c>
      <c r="L34" s="189">
        <v>13.78</v>
      </c>
      <c r="M34" s="189">
        <v>13.78</v>
      </c>
      <c r="N34" s="189">
        <v>111.3</v>
      </c>
      <c r="O34" s="189">
        <v>188.35</v>
      </c>
      <c r="P34" s="189">
        <v>16.88</v>
      </c>
      <c r="Q34" s="189" t="s">
        <v>217</v>
      </c>
      <c r="R34" s="189">
        <v>60.71</v>
      </c>
      <c r="S34" s="189">
        <v>60.54</v>
      </c>
      <c r="T34" s="189">
        <v>0.17</v>
      </c>
      <c r="U34" s="189">
        <v>85.28</v>
      </c>
      <c r="V34" s="189">
        <v>9.42</v>
      </c>
      <c r="W34" s="189" t="s">
        <v>185</v>
      </c>
      <c r="X34" s="189"/>
      <c r="Y34" s="194"/>
      <c r="Z34" s="189"/>
      <c r="AA34" s="194"/>
      <c r="AB34" s="189"/>
      <c r="AC34" s="189"/>
      <c r="AD34" s="189"/>
      <c r="AE34" s="189"/>
      <c r="AF34" s="189"/>
      <c r="AG34" s="189"/>
      <c r="AH34" s="189">
        <v>7138988829</v>
      </c>
      <c r="AI34" s="189">
        <v>1112506404</v>
      </c>
      <c r="AJ34" s="189">
        <v>5718866119</v>
      </c>
      <c r="AK34" s="189">
        <v>7138988829</v>
      </c>
      <c r="AL34" s="190"/>
      <c r="AM34" s="190">
        <v>1112506404</v>
      </c>
      <c r="AN34" s="190">
        <v>5718866119</v>
      </c>
      <c r="AO34" s="190">
        <v>307616305</v>
      </c>
      <c r="AP34" s="237" t="s">
        <v>185</v>
      </c>
      <c r="AQ34" s="190"/>
      <c r="AR34" s="190"/>
      <c r="AS34" s="190">
        <v>4098803098</v>
      </c>
      <c r="AT34" s="190">
        <v>7068872000</v>
      </c>
      <c r="AU34" s="190">
        <v>7068872000</v>
      </c>
      <c r="AV34" s="190"/>
      <c r="AW34" s="189"/>
      <c r="AX34" s="189">
        <v>768500991</v>
      </c>
      <c r="AY34" s="189">
        <v>1192702228</v>
      </c>
      <c r="AZ34" s="189"/>
      <c r="BA34" s="189">
        <v>8672168823</v>
      </c>
      <c r="BB34" s="189">
        <v>8672168823</v>
      </c>
      <c r="BC34" s="189"/>
      <c r="BD34" s="237" t="s">
        <v>185</v>
      </c>
      <c r="BE34" s="189">
        <v>4268722670</v>
      </c>
      <c r="BF34" s="237" t="s">
        <v>185</v>
      </c>
      <c r="BG34" s="237" t="s">
        <v>185</v>
      </c>
      <c r="BH34" s="255"/>
      <c r="BI34" s="190"/>
    </row>
    <row r="35" spans="1:61" s="74" customFormat="1" ht="19.5" customHeight="1">
      <c r="A35" s="189">
        <v>2010</v>
      </c>
      <c r="B35" s="238" t="s">
        <v>215</v>
      </c>
      <c r="C35" s="237"/>
      <c r="D35" s="190">
        <v>1414.02</v>
      </c>
      <c r="E35" s="238">
        <v>1</v>
      </c>
      <c r="F35" s="189">
        <v>1011</v>
      </c>
      <c r="G35" s="256" t="s">
        <v>211</v>
      </c>
      <c r="H35" s="238" t="s">
        <v>213</v>
      </c>
      <c r="I35" s="194">
        <v>1013.4</v>
      </c>
      <c r="J35" s="194">
        <v>1013.4</v>
      </c>
      <c r="K35" s="194">
        <v>24.6</v>
      </c>
      <c r="L35" s="189">
        <v>14.1</v>
      </c>
      <c r="M35" s="189">
        <v>14.1</v>
      </c>
      <c r="N35" s="189">
        <v>111.3</v>
      </c>
      <c r="O35" s="189">
        <v>162.42</v>
      </c>
      <c r="P35" s="189">
        <v>14.19</v>
      </c>
      <c r="Q35" s="189">
        <v>148.43</v>
      </c>
      <c r="R35" s="189">
        <v>62.51</v>
      </c>
      <c r="S35" s="189">
        <v>62.44</v>
      </c>
      <c r="T35" s="189">
        <v>0.08</v>
      </c>
      <c r="U35" s="189">
        <v>75.6</v>
      </c>
      <c r="V35" s="189">
        <v>10.31</v>
      </c>
      <c r="W35" s="189" t="s">
        <v>185</v>
      </c>
      <c r="X35" s="189"/>
      <c r="Y35" s="194"/>
      <c r="Z35" s="189"/>
      <c r="AA35" s="194"/>
      <c r="AB35" s="189"/>
      <c r="AC35" s="189"/>
      <c r="AD35" s="189"/>
      <c r="AE35" s="189"/>
      <c r="AF35" s="189"/>
      <c r="AG35" s="189"/>
      <c r="AH35" s="189">
        <v>6420692149</v>
      </c>
      <c r="AI35" s="189">
        <v>1231463201</v>
      </c>
      <c r="AJ35" s="189">
        <v>4812929384</v>
      </c>
      <c r="AK35" s="189">
        <v>6420692149</v>
      </c>
      <c r="AL35" s="190"/>
      <c r="AM35" s="190">
        <v>1231463201</v>
      </c>
      <c r="AN35" s="190">
        <v>4812929384</v>
      </c>
      <c r="AO35" s="190">
        <v>376299564</v>
      </c>
      <c r="AP35" s="238" t="s">
        <v>185</v>
      </c>
      <c r="AQ35" s="190"/>
      <c r="AR35" s="190"/>
      <c r="AS35" s="190">
        <v>4534576190</v>
      </c>
      <c r="AT35" s="190">
        <v>6512341000</v>
      </c>
      <c r="AU35" s="190">
        <v>6512341000</v>
      </c>
      <c r="AV35" s="190"/>
      <c r="AW35" s="189"/>
      <c r="AX35" s="189">
        <v>776843241</v>
      </c>
      <c r="AY35" s="189">
        <v>1234775432</v>
      </c>
      <c r="AZ35" s="189"/>
      <c r="BA35" s="189">
        <v>8524418785</v>
      </c>
      <c r="BB35" s="189">
        <v>8524418785</v>
      </c>
      <c r="BC35" s="189"/>
      <c r="BD35" s="238" t="s">
        <v>185</v>
      </c>
      <c r="BE35" s="189">
        <v>6687598417</v>
      </c>
      <c r="BF35" s="238" t="s">
        <v>185</v>
      </c>
      <c r="BG35" s="238" t="s">
        <v>185</v>
      </c>
      <c r="BH35" s="255"/>
      <c r="BI35" s="190"/>
    </row>
    <row r="36" spans="1:60" s="74" customFormat="1" ht="6" customHeight="1" thickBot="1">
      <c r="A36" s="76"/>
      <c r="B36" s="81"/>
      <c r="C36" s="81"/>
      <c r="D36" s="75"/>
      <c r="E36" s="78"/>
      <c r="H36" s="82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U36" s="83"/>
      <c r="V36" s="83"/>
      <c r="W36" s="83"/>
      <c r="X36" s="78"/>
      <c r="Y36" s="83"/>
      <c r="Z36" s="83"/>
      <c r="AA36" s="83"/>
      <c r="AB36" s="78"/>
      <c r="AC36" s="83"/>
      <c r="AD36" s="83"/>
      <c r="AE36" s="83"/>
      <c r="AF36" s="83"/>
      <c r="AG36" s="83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85"/>
    </row>
    <row r="37" spans="1:61" s="74" customFormat="1" ht="15" customHeight="1">
      <c r="A37" s="109">
        <v>2001</v>
      </c>
      <c r="B37" s="276" t="s">
        <v>218</v>
      </c>
      <c r="C37" s="276" t="s">
        <v>219</v>
      </c>
      <c r="D37" s="115">
        <v>500</v>
      </c>
      <c r="E37" s="257">
        <v>4</v>
      </c>
      <c r="F37" s="109">
        <v>1187</v>
      </c>
      <c r="G37" s="113"/>
      <c r="H37" s="269" t="s">
        <v>221</v>
      </c>
      <c r="I37" s="115">
        <v>500</v>
      </c>
      <c r="J37" s="115">
        <v>500</v>
      </c>
      <c r="K37" s="269" t="s">
        <v>185</v>
      </c>
      <c r="L37" s="112">
        <v>1.6</v>
      </c>
      <c r="M37" s="112">
        <v>1.6</v>
      </c>
      <c r="N37" s="110">
        <v>1531.8</v>
      </c>
      <c r="O37" s="112">
        <v>35.66</v>
      </c>
      <c r="P37" s="112">
        <v>27.12</v>
      </c>
      <c r="Q37" s="112">
        <v>27.12</v>
      </c>
      <c r="R37" s="112">
        <v>13.01</v>
      </c>
      <c r="S37" s="112">
        <v>13.01</v>
      </c>
      <c r="T37" s="269" t="s">
        <v>185</v>
      </c>
      <c r="U37" s="112">
        <v>11.09</v>
      </c>
      <c r="V37" s="112">
        <v>1.92</v>
      </c>
      <c r="W37" s="112">
        <v>1.1</v>
      </c>
      <c r="X37" s="115">
        <v>408</v>
      </c>
      <c r="Y37" s="115">
        <v>300</v>
      </c>
      <c r="Z37" s="110">
        <v>2</v>
      </c>
      <c r="AA37" s="117">
        <v>495.2</v>
      </c>
      <c r="AB37" s="117">
        <v>83</v>
      </c>
      <c r="AC37" s="112">
        <v>18</v>
      </c>
      <c r="AD37" s="112">
        <v>8.56</v>
      </c>
      <c r="AE37" s="112">
        <v>9.44</v>
      </c>
      <c r="AF37" s="112">
        <v>18</v>
      </c>
      <c r="AG37" s="112">
        <v>18</v>
      </c>
      <c r="AH37" s="115">
        <v>530412000</v>
      </c>
      <c r="AI37" s="115">
        <v>261446000</v>
      </c>
      <c r="AJ37" s="115">
        <v>268966000</v>
      </c>
      <c r="AK37" s="115">
        <v>399930000</v>
      </c>
      <c r="AL37" s="115">
        <v>130482000</v>
      </c>
      <c r="AM37" s="115">
        <v>198913000</v>
      </c>
      <c r="AN37" s="115">
        <v>199621000</v>
      </c>
      <c r="AO37" s="115"/>
      <c r="AP37" s="115"/>
      <c r="AQ37" s="115">
        <v>62533000</v>
      </c>
      <c r="AR37" s="115">
        <v>67949000</v>
      </c>
      <c r="AS37" s="115">
        <v>530421000</v>
      </c>
      <c r="AT37" s="116">
        <v>450829000</v>
      </c>
      <c r="AU37" s="115">
        <v>333218000</v>
      </c>
      <c r="AV37" s="115">
        <v>117611000</v>
      </c>
      <c r="AW37" s="118"/>
      <c r="AX37" s="115">
        <v>114509500</v>
      </c>
      <c r="AY37" s="115">
        <v>39959000</v>
      </c>
      <c r="AZ37" s="251" t="s">
        <v>185</v>
      </c>
      <c r="BA37" s="115">
        <v>401425032</v>
      </c>
      <c r="BB37" s="115">
        <v>196698266</v>
      </c>
      <c r="BC37" s="115">
        <v>204726766</v>
      </c>
      <c r="BD37" s="115"/>
      <c r="BE37" s="269" t="s">
        <v>185</v>
      </c>
      <c r="BF37" s="126">
        <v>23556426</v>
      </c>
      <c r="BG37" s="269" t="s">
        <v>185</v>
      </c>
      <c r="BH37" s="110"/>
      <c r="BI37" s="188"/>
    </row>
    <row r="38" spans="1:61" s="74" customFormat="1" ht="15" customHeight="1">
      <c r="A38" s="109">
        <v>2002</v>
      </c>
      <c r="B38" s="274" t="s">
        <v>218</v>
      </c>
      <c r="C38" s="274" t="s">
        <v>219</v>
      </c>
      <c r="D38" s="115">
        <v>500</v>
      </c>
      <c r="E38" s="258"/>
      <c r="F38" s="109">
        <v>1096</v>
      </c>
      <c r="G38" s="113"/>
      <c r="H38" s="270" t="s">
        <v>221</v>
      </c>
      <c r="I38" s="115">
        <v>500</v>
      </c>
      <c r="J38" s="115">
        <v>500</v>
      </c>
      <c r="K38" s="270" t="s">
        <v>185</v>
      </c>
      <c r="L38" s="112">
        <v>1.7</v>
      </c>
      <c r="M38" s="112">
        <v>1.7</v>
      </c>
      <c r="N38" s="110">
        <v>1533.5</v>
      </c>
      <c r="O38" s="112">
        <v>32.6</v>
      </c>
      <c r="P38" s="112">
        <v>21.71</v>
      </c>
      <c r="Q38" s="112">
        <v>21.71</v>
      </c>
      <c r="R38" s="112">
        <v>10.5</v>
      </c>
      <c r="S38" s="112">
        <v>10.5</v>
      </c>
      <c r="T38" s="270" t="s">
        <v>185</v>
      </c>
      <c r="U38" s="112">
        <v>8.06</v>
      </c>
      <c r="V38" s="112">
        <v>2</v>
      </c>
      <c r="W38" s="112">
        <v>1.15</v>
      </c>
      <c r="X38" s="115">
        <v>419</v>
      </c>
      <c r="Y38" s="115">
        <v>300</v>
      </c>
      <c r="Z38" s="110">
        <v>2.1</v>
      </c>
      <c r="AA38" s="117">
        <v>497.8</v>
      </c>
      <c r="AB38" s="117">
        <v>72</v>
      </c>
      <c r="AC38" s="112">
        <v>16.34</v>
      </c>
      <c r="AD38" s="112">
        <v>7.33</v>
      </c>
      <c r="AE38" s="112">
        <v>9.01</v>
      </c>
      <c r="AF38" s="112">
        <v>16.34</v>
      </c>
      <c r="AG38" s="112">
        <v>16.34</v>
      </c>
      <c r="AH38" s="115">
        <v>624285000</v>
      </c>
      <c r="AI38" s="115">
        <v>300711000</v>
      </c>
      <c r="AJ38" s="115">
        <v>323574000</v>
      </c>
      <c r="AK38" s="115">
        <v>479585000</v>
      </c>
      <c r="AL38" s="115">
        <v>144700000</v>
      </c>
      <c r="AM38" s="115">
        <v>235893000</v>
      </c>
      <c r="AN38" s="115">
        <v>241569000</v>
      </c>
      <c r="AO38" s="115"/>
      <c r="AP38" s="115"/>
      <c r="AQ38" s="115">
        <v>64818000</v>
      </c>
      <c r="AR38" s="115">
        <v>79882000</v>
      </c>
      <c r="AS38" s="115">
        <v>624285000</v>
      </c>
      <c r="AT38" s="116">
        <v>513805000</v>
      </c>
      <c r="AU38" s="115">
        <v>378391000</v>
      </c>
      <c r="AV38" s="115">
        <v>135414000</v>
      </c>
      <c r="AW38" s="118"/>
      <c r="AX38" s="115">
        <v>123133000</v>
      </c>
      <c r="AY38" s="115">
        <v>52135000</v>
      </c>
      <c r="AZ38" s="252"/>
      <c r="BA38" s="115">
        <v>645680375</v>
      </c>
      <c r="BB38" s="115">
        <v>387408225</v>
      </c>
      <c r="BC38" s="115">
        <v>258272150</v>
      </c>
      <c r="BD38" s="115"/>
      <c r="BE38" s="270" t="s">
        <v>185</v>
      </c>
      <c r="BF38" s="126">
        <v>54360112</v>
      </c>
      <c r="BG38" s="270" t="s">
        <v>185</v>
      </c>
      <c r="BH38" s="110"/>
      <c r="BI38" s="188"/>
    </row>
    <row r="39" spans="1:61" s="74" customFormat="1" ht="15" customHeight="1">
      <c r="A39" s="109">
        <v>2003</v>
      </c>
      <c r="B39" s="274" t="s">
        <v>218</v>
      </c>
      <c r="C39" s="274" t="s">
        <v>219</v>
      </c>
      <c r="D39" s="115">
        <v>510</v>
      </c>
      <c r="E39" s="258"/>
      <c r="F39" s="109">
        <v>1064</v>
      </c>
      <c r="G39" s="113"/>
      <c r="H39" s="270" t="s">
        <v>221</v>
      </c>
      <c r="I39" s="115">
        <v>510</v>
      </c>
      <c r="J39" s="115">
        <v>510</v>
      </c>
      <c r="K39" s="270" t="s">
        <v>185</v>
      </c>
      <c r="L39" s="112">
        <v>1.6</v>
      </c>
      <c r="M39" s="112">
        <v>1.6</v>
      </c>
      <c r="N39" s="110">
        <v>1536.2</v>
      </c>
      <c r="O39" s="112">
        <v>31.23</v>
      </c>
      <c r="P39" s="112">
        <v>20.44</v>
      </c>
      <c r="Q39" s="112">
        <v>20.44</v>
      </c>
      <c r="R39" s="112">
        <v>10.5</v>
      </c>
      <c r="S39" s="112">
        <v>10.5</v>
      </c>
      <c r="T39" s="270" t="s">
        <v>185</v>
      </c>
      <c r="U39" s="112">
        <v>6.59</v>
      </c>
      <c r="V39" s="112">
        <v>2.15</v>
      </c>
      <c r="W39" s="112">
        <v>1.2</v>
      </c>
      <c r="X39" s="115">
        <v>426</v>
      </c>
      <c r="Y39" s="115">
        <v>302.5</v>
      </c>
      <c r="Z39" s="110">
        <v>2.2</v>
      </c>
      <c r="AA39" s="117">
        <v>498.3</v>
      </c>
      <c r="AB39" s="117">
        <v>78</v>
      </c>
      <c r="AC39" s="112">
        <v>16.44</v>
      </c>
      <c r="AD39" s="112">
        <v>6.87</v>
      </c>
      <c r="AE39" s="112">
        <v>9.57</v>
      </c>
      <c r="AF39" s="112">
        <v>16.44</v>
      </c>
      <c r="AG39" s="112">
        <v>16.44</v>
      </c>
      <c r="AH39" s="115">
        <v>657107000</v>
      </c>
      <c r="AI39" s="115">
        <v>317956000</v>
      </c>
      <c r="AJ39" s="115">
        <v>339151000</v>
      </c>
      <c r="AK39" s="115">
        <v>501679000</v>
      </c>
      <c r="AL39" s="115">
        <v>155428000</v>
      </c>
      <c r="AM39" s="115">
        <v>252661000</v>
      </c>
      <c r="AN39" s="115">
        <v>246387000</v>
      </c>
      <c r="AO39" s="115"/>
      <c r="AP39" s="115"/>
      <c r="AQ39" s="115">
        <v>65295000</v>
      </c>
      <c r="AR39" s="115">
        <v>90133000</v>
      </c>
      <c r="AS39" s="115">
        <v>657107000</v>
      </c>
      <c r="AT39" s="116">
        <v>590224000</v>
      </c>
      <c r="AU39" s="115">
        <v>445827000</v>
      </c>
      <c r="AV39" s="115">
        <v>144398000</v>
      </c>
      <c r="AW39" s="118"/>
      <c r="AX39" s="115">
        <v>134680000</v>
      </c>
      <c r="AY39" s="115">
        <v>55372000</v>
      </c>
      <c r="AZ39" s="252"/>
      <c r="BA39" s="115">
        <v>1290562307</v>
      </c>
      <c r="BB39" s="115">
        <v>949408324</v>
      </c>
      <c r="BC39" s="115">
        <v>341153983</v>
      </c>
      <c r="BD39" s="115"/>
      <c r="BE39" s="270" t="s">
        <v>185</v>
      </c>
      <c r="BF39" s="126">
        <v>13553274</v>
      </c>
      <c r="BG39" s="270" t="s">
        <v>185</v>
      </c>
      <c r="BH39" s="110"/>
      <c r="BI39" s="188"/>
    </row>
    <row r="40" spans="1:61" s="74" customFormat="1" ht="15" customHeight="1">
      <c r="A40" s="109">
        <v>2004</v>
      </c>
      <c r="B40" s="274" t="s">
        <v>218</v>
      </c>
      <c r="C40" s="274" t="s">
        <v>219</v>
      </c>
      <c r="D40" s="115">
        <v>515</v>
      </c>
      <c r="E40" s="258"/>
      <c r="F40" s="109">
        <v>912</v>
      </c>
      <c r="G40" s="113"/>
      <c r="H40" s="270" t="s">
        <v>221</v>
      </c>
      <c r="I40" s="115">
        <v>515</v>
      </c>
      <c r="J40" s="115">
        <v>515</v>
      </c>
      <c r="K40" s="270" t="s">
        <v>185</v>
      </c>
      <c r="L40" s="112">
        <v>1.9</v>
      </c>
      <c r="M40" s="112">
        <v>1.9</v>
      </c>
      <c r="N40" s="110">
        <v>1545.2</v>
      </c>
      <c r="O40" s="112">
        <v>33</v>
      </c>
      <c r="P40" s="112">
        <v>21.83</v>
      </c>
      <c r="Q40" s="112">
        <v>21.83</v>
      </c>
      <c r="R40" s="112">
        <v>11.05</v>
      </c>
      <c r="S40" s="112">
        <v>11.05</v>
      </c>
      <c r="T40" s="270" t="s">
        <v>185</v>
      </c>
      <c r="U40" s="112">
        <v>6.6</v>
      </c>
      <c r="V40" s="112">
        <v>2.93</v>
      </c>
      <c r="W40" s="112">
        <v>1.22</v>
      </c>
      <c r="X40" s="115">
        <v>472</v>
      </c>
      <c r="Y40" s="115">
        <v>307.2</v>
      </c>
      <c r="Z40" s="110">
        <v>2.3</v>
      </c>
      <c r="AA40" s="117">
        <v>498.3</v>
      </c>
      <c r="AB40" s="117">
        <v>87</v>
      </c>
      <c r="AC40" s="112">
        <v>17.75</v>
      </c>
      <c r="AD40" s="112">
        <v>7.54</v>
      </c>
      <c r="AE40" s="112">
        <v>10.21</v>
      </c>
      <c r="AF40" s="112">
        <v>17.75</v>
      </c>
      <c r="AG40" s="112">
        <v>17.75</v>
      </c>
      <c r="AH40" s="115">
        <v>694525000</v>
      </c>
      <c r="AI40" s="115">
        <v>349704000</v>
      </c>
      <c r="AJ40" s="115">
        <v>344821000</v>
      </c>
      <c r="AK40" s="115">
        <v>525702000</v>
      </c>
      <c r="AL40" s="115">
        <v>168823000</v>
      </c>
      <c r="AM40" s="115">
        <v>277977000</v>
      </c>
      <c r="AN40" s="115">
        <v>245408000</v>
      </c>
      <c r="AO40" s="115">
        <v>106819000</v>
      </c>
      <c r="AP40" s="115">
        <v>7590000</v>
      </c>
      <c r="AQ40" s="115">
        <v>71728000</v>
      </c>
      <c r="AR40" s="115">
        <v>97095000</v>
      </c>
      <c r="AS40" s="115">
        <v>694525000</v>
      </c>
      <c r="AT40" s="116">
        <v>670448000</v>
      </c>
      <c r="AU40" s="115">
        <v>494957000</v>
      </c>
      <c r="AV40" s="115">
        <v>175491000</v>
      </c>
      <c r="AW40" s="118"/>
      <c r="AX40" s="115">
        <v>156522000</v>
      </c>
      <c r="AY40" s="115">
        <v>48977000</v>
      </c>
      <c r="AZ40" s="252"/>
      <c r="BA40" s="115"/>
      <c r="BB40" s="115">
        <v>1287807261</v>
      </c>
      <c r="BC40" s="115">
        <v>313725156</v>
      </c>
      <c r="BD40" s="115"/>
      <c r="BE40" s="270" t="s">
        <v>185</v>
      </c>
      <c r="BF40" s="126">
        <v>-1772669</v>
      </c>
      <c r="BG40" s="270" t="s">
        <v>185</v>
      </c>
      <c r="BH40" s="110"/>
      <c r="BI40" s="188"/>
    </row>
    <row r="41" spans="1:61" s="74" customFormat="1" ht="15" customHeight="1">
      <c r="A41" s="109">
        <v>2005</v>
      </c>
      <c r="B41" s="274" t="s">
        <v>218</v>
      </c>
      <c r="C41" s="274" t="s">
        <v>219</v>
      </c>
      <c r="D41" s="115">
        <v>520</v>
      </c>
      <c r="E41" s="258"/>
      <c r="F41" s="109">
        <v>898</v>
      </c>
      <c r="G41" s="113"/>
      <c r="H41" s="270" t="s">
        <v>221</v>
      </c>
      <c r="I41" s="115">
        <v>520</v>
      </c>
      <c r="J41" s="115">
        <v>520</v>
      </c>
      <c r="K41" s="270" t="s">
        <v>185</v>
      </c>
      <c r="L41" s="112">
        <v>1.8</v>
      </c>
      <c r="M41" s="112">
        <v>1.8</v>
      </c>
      <c r="N41" s="110">
        <v>1592.8</v>
      </c>
      <c r="O41" s="112">
        <v>32.87</v>
      </c>
      <c r="P41" s="112">
        <v>22.22</v>
      </c>
      <c r="Q41" s="112">
        <v>22.22</v>
      </c>
      <c r="R41" s="112">
        <v>11.52</v>
      </c>
      <c r="S41" s="112">
        <v>11.52</v>
      </c>
      <c r="T41" s="270" t="s">
        <v>185</v>
      </c>
      <c r="U41" s="112">
        <v>6.72</v>
      </c>
      <c r="V41" s="112">
        <v>3.1</v>
      </c>
      <c r="W41" s="112">
        <v>1.35</v>
      </c>
      <c r="X41" s="115">
        <v>385</v>
      </c>
      <c r="Y41" s="115">
        <v>312.4</v>
      </c>
      <c r="Z41" s="110">
        <v>2.4</v>
      </c>
      <c r="AA41" s="117">
        <v>498.3</v>
      </c>
      <c r="AB41" s="117">
        <v>87</v>
      </c>
      <c r="AC41" s="112">
        <v>18.11</v>
      </c>
      <c r="AD41" s="112">
        <v>7.57</v>
      </c>
      <c r="AE41" s="112">
        <v>10.54</v>
      </c>
      <c r="AF41" s="112">
        <v>18.11</v>
      </c>
      <c r="AG41" s="112">
        <v>18.11</v>
      </c>
      <c r="AH41" s="115">
        <v>788371000</v>
      </c>
      <c r="AI41" s="115">
        <v>405434000</v>
      </c>
      <c r="AJ41" s="115">
        <v>382937000</v>
      </c>
      <c r="AK41" s="115">
        <v>603336000</v>
      </c>
      <c r="AL41" s="115">
        <v>185035000</v>
      </c>
      <c r="AM41" s="115">
        <v>328048000</v>
      </c>
      <c r="AN41" s="115">
        <v>264858000</v>
      </c>
      <c r="AO41" s="115">
        <v>125056000</v>
      </c>
      <c r="AP41" s="115">
        <v>8935000</v>
      </c>
      <c r="AQ41" s="115">
        <v>77386000</v>
      </c>
      <c r="AR41" s="115">
        <v>107649000</v>
      </c>
      <c r="AS41" s="115">
        <v>784492000</v>
      </c>
      <c r="AT41" s="116">
        <v>706244000</v>
      </c>
      <c r="AU41" s="115">
        <v>534321000</v>
      </c>
      <c r="AV41" s="115">
        <v>171923000</v>
      </c>
      <c r="AW41" s="118"/>
      <c r="AX41" s="115">
        <v>182537800</v>
      </c>
      <c r="AY41" s="115">
        <v>59411000</v>
      </c>
      <c r="AZ41" s="252"/>
      <c r="BA41" s="115">
        <v>1704656052</v>
      </c>
      <c r="BB41" s="115">
        <v>1219786790</v>
      </c>
      <c r="BC41" s="115">
        <v>484869262</v>
      </c>
      <c r="BD41" s="115"/>
      <c r="BE41" s="270" t="s">
        <v>185</v>
      </c>
      <c r="BF41" s="126">
        <v>10421176</v>
      </c>
      <c r="BG41" s="270" t="s">
        <v>185</v>
      </c>
      <c r="BH41" s="110"/>
      <c r="BI41" s="188"/>
    </row>
    <row r="42" spans="1:61" s="74" customFormat="1" ht="15" customHeight="1">
      <c r="A42" s="109">
        <v>2006</v>
      </c>
      <c r="B42" s="274" t="s">
        <v>218</v>
      </c>
      <c r="C42" s="274" t="s">
        <v>219</v>
      </c>
      <c r="D42" s="115">
        <v>550</v>
      </c>
      <c r="E42" s="258"/>
      <c r="F42" s="109">
        <v>838</v>
      </c>
      <c r="G42" s="113"/>
      <c r="H42" s="270" t="s">
        <v>221</v>
      </c>
      <c r="I42" s="115">
        <v>550</v>
      </c>
      <c r="J42" s="115">
        <v>550</v>
      </c>
      <c r="K42" s="270" t="s">
        <v>185</v>
      </c>
      <c r="L42" s="112">
        <v>1.9</v>
      </c>
      <c r="M42" s="112">
        <v>1.9</v>
      </c>
      <c r="N42" s="110">
        <v>1635.3</v>
      </c>
      <c r="O42" s="112">
        <v>34.31</v>
      </c>
      <c r="P42" s="112">
        <v>23.95</v>
      </c>
      <c r="Q42" s="112">
        <v>23.95</v>
      </c>
      <c r="R42" s="112">
        <v>12.5</v>
      </c>
      <c r="S42" s="112">
        <v>12.5</v>
      </c>
      <c r="T42" s="270" t="s">
        <v>185</v>
      </c>
      <c r="U42" s="112">
        <v>7.13</v>
      </c>
      <c r="V42" s="112">
        <v>2.97</v>
      </c>
      <c r="W42" s="112">
        <v>1.35</v>
      </c>
      <c r="X42" s="115">
        <v>436</v>
      </c>
      <c r="Y42" s="115">
        <v>317.6</v>
      </c>
      <c r="Z42" s="110">
        <v>2.5</v>
      </c>
      <c r="AA42" s="117">
        <v>498.3</v>
      </c>
      <c r="AB42" s="117">
        <v>72</v>
      </c>
      <c r="AC42" s="112">
        <v>18.52</v>
      </c>
      <c r="AD42" s="112">
        <v>8.13</v>
      </c>
      <c r="AE42" s="112">
        <v>10.39</v>
      </c>
      <c r="AF42" s="112">
        <v>18.52</v>
      </c>
      <c r="AG42" s="112">
        <v>18.52</v>
      </c>
      <c r="AH42" s="115">
        <v>842885000</v>
      </c>
      <c r="AI42" s="115">
        <v>439151000</v>
      </c>
      <c r="AJ42" s="115">
        <v>403734000</v>
      </c>
      <c r="AK42" s="115">
        <v>653908000</v>
      </c>
      <c r="AL42" s="115">
        <v>188977000</v>
      </c>
      <c r="AM42" s="115">
        <v>356136000</v>
      </c>
      <c r="AN42" s="115">
        <v>287561000</v>
      </c>
      <c r="AO42" s="115">
        <v>125332000</v>
      </c>
      <c r="AP42" s="115">
        <v>10106000</v>
      </c>
      <c r="AQ42" s="115">
        <v>83015000</v>
      </c>
      <c r="AR42" s="115">
        <v>105962000</v>
      </c>
      <c r="AS42" s="115">
        <v>842884000</v>
      </c>
      <c r="AT42" s="116">
        <v>795090000</v>
      </c>
      <c r="AU42" s="115">
        <v>601880000</v>
      </c>
      <c r="AV42" s="115">
        <v>193211000</v>
      </c>
      <c r="AW42" s="118"/>
      <c r="AX42" s="115">
        <v>192151300</v>
      </c>
      <c r="AY42" s="115">
        <v>74718000</v>
      </c>
      <c r="AZ42" s="252"/>
      <c r="BA42" s="115">
        <v>2822971475</v>
      </c>
      <c r="BB42" s="115">
        <v>2283353131</v>
      </c>
      <c r="BC42" s="115">
        <v>539618344</v>
      </c>
      <c r="BD42" s="115"/>
      <c r="BE42" s="270" t="s">
        <v>185</v>
      </c>
      <c r="BF42" s="126">
        <v>4891173</v>
      </c>
      <c r="BG42" s="270" t="s">
        <v>185</v>
      </c>
      <c r="BH42" s="110"/>
      <c r="BI42" s="188"/>
    </row>
    <row r="43" spans="1:61" s="74" customFormat="1" ht="15" customHeight="1">
      <c r="A43" s="109">
        <v>2007</v>
      </c>
      <c r="B43" s="274" t="s">
        <v>218</v>
      </c>
      <c r="C43" s="274" t="s">
        <v>219</v>
      </c>
      <c r="D43" s="115">
        <v>600</v>
      </c>
      <c r="E43" s="258"/>
      <c r="F43" s="109">
        <v>790</v>
      </c>
      <c r="G43" s="113"/>
      <c r="H43" s="270" t="s">
        <v>221</v>
      </c>
      <c r="I43" s="115">
        <v>600</v>
      </c>
      <c r="J43" s="115">
        <v>600</v>
      </c>
      <c r="K43" s="270" t="s">
        <v>185</v>
      </c>
      <c r="L43" s="112">
        <v>1.8</v>
      </c>
      <c r="M43" s="112">
        <v>1.8</v>
      </c>
      <c r="N43" s="110">
        <v>1752</v>
      </c>
      <c r="O43" s="112">
        <v>37.65</v>
      </c>
      <c r="P43" s="112">
        <v>26.76</v>
      </c>
      <c r="Q43" s="112">
        <v>26.76</v>
      </c>
      <c r="R43" s="112">
        <v>13.85</v>
      </c>
      <c r="S43" s="112">
        <v>13.85</v>
      </c>
      <c r="T43" s="270" t="s">
        <v>185</v>
      </c>
      <c r="U43" s="112">
        <v>7.83</v>
      </c>
      <c r="V43" s="112">
        <v>3.29</v>
      </c>
      <c r="W43" s="112">
        <v>1.79</v>
      </c>
      <c r="X43" s="115">
        <v>434</v>
      </c>
      <c r="Y43" s="115">
        <v>321.2</v>
      </c>
      <c r="Z43" s="110">
        <v>2.6</v>
      </c>
      <c r="AA43" s="114">
        <v>423.3</v>
      </c>
      <c r="AB43" s="114">
        <v>72</v>
      </c>
      <c r="AC43" s="112">
        <v>19.86</v>
      </c>
      <c r="AD43" s="112">
        <v>9.07</v>
      </c>
      <c r="AE43" s="112">
        <v>10.79</v>
      </c>
      <c r="AF43" s="112">
        <v>19.86</v>
      </c>
      <c r="AG43" s="112">
        <v>19.86</v>
      </c>
      <c r="AH43" s="115">
        <v>928917000</v>
      </c>
      <c r="AI43" s="115">
        <v>487026000</v>
      </c>
      <c r="AJ43" s="115">
        <v>441891000</v>
      </c>
      <c r="AK43" s="115">
        <v>727391000</v>
      </c>
      <c r="AL43" s="115">
        <v>201526000</v>
      </c>
      <c r="AM43" s="115">
        <v>394338000</v>
      </c>
      <c r="AN43" s="115">
        <v>316648000</v>
      </c>
      <c r="AO43" s="115">
        <v>122758000</v>
      </c>
      <c r="AP43" s="115">
        <v>16405000</v>
      </c>
      <c r="AQ43" s="115">
        <v>92688000</v>
      </c>
      <c r="AR43" s="115">
        <v>108838000</v>
      </c>
      <c r="AS43" s="115">
        <v>928917000</v>
      </c>
      <c r="AT43" s="116">
        <v>923184000</v>
      </c>
      <c r="AU43" s="115">
        <v>694477000</v>
      </c>
      <c r="AV43" s="115">
        <v>228707000</v>
      </c>
      <c r="AW43" s="118"/>
      <c r="AX43" s="115">
        <v>198662800</v>
      </c>
      <c r="AY43" s="115">
        <v>71567000</v>
      </c>
      <c r="AZ43" s="253"/>
      <c r="BA43" s="115">
        <v>2831113123</v>
      </c>
      <c r="BB43" s="115">
        <v>2354947503</v>
      </c>
      <c r="BC43" s="115">
        <v>476165620</v>
      </c>
      <c r="BD43" s="115"/>
      <c r="BE43" s="270" t="s">
        <v>185</v>
      </c>
      <c r="BF43" s="126">
        <v>6856653</v>
      </c>
      <c r="BG43" s="270" t="s">
        <v>185</v>
      </c>
      <c r="BH43" s="110"/>
      <c r="BI43" s="188"/>
    </row>
    <row r="44" spans="1:61" s="74" customFormat="1" ht="15" customHeight="1">
      <c r="A44" s="109">
        <v>2008</v>
      </c>
      <c r="B44" s="274" t="s">
        <v>218</v>
      </c>
      <c r="C44" s="274" t="s">
        <v>219</v>
      </c>
      <c r="D44" s="115">
        <v>650</v>
      </c>
      <c r="E44" s="258"/>
      <c r="F44" s="109">
        <v>735</v>
      </c>
      <c r="G44" s="113"/>
      <c r="H44" s="270" t="s">
        <v>221</v>
      </c>
      <c r="I44" s="115">
        <v>650</v>
      </c>
      <c r="J44" s="115">
        <v>650</v>
      </c>
      <c r="K44" s="270" t="s">
        <v>185</v>
      </c>
      <c r="L44" s="112">
        <v>6.73</v>
      </c>
      <c r="M44" s="112">
        <v>6.73</v>
      </c>
      <c r="N44" s="110">
        <v>1765</v>
      </c>
      <c r="O44" s="112">
        <v>44.2</v>
      </c>
      <c r="P44" s="112">
        <v>31.5</v>
      </c>
      <c r="Q44" s="112">
        <v>31.5</v>
      </c>
      <c r="R44" s="112">
        <v>15.3</v>
      </c>
      <c r="S44" s="112">
        <v>15.3</v>
      </c>
      <c r="T44" s="270" t="s">
        <v>185</v>
      </c>
      <c r="U44" s="112">
        <v>10.1</v>
      </c>
      <c r="V44" s="112">
        <v>2.6</v>
      </c>
      <c r="W44" s="112">
        <v>3.5</v>
      </c>
      <c r="X44" s="115">
        <v>432</v>
      </c>
      <c r="Y44" s="115">
        <v>330</v>
      </c>
      <c r="Z44" s="110">
        <v>2.7</v>
      </c>
      <c r="AA44" s="114">
        <v>427.6</v>
      </c>
      <c r="AB44" s="114">
        <v>70</v>
      </c>
      <c r="AC44" s="112">
        <v>20.9</v>
      </c>
      <c r="AD44" s="112">
        <v>9.6</v>
      </c>
      <c r="AE44" s="112">
        <v>11.3</v>
      </c>
      <c r="AF44" s="112">
        <v>20.9</v>
      </c>
      <c r="AG44" s="112">
        <v>20.9</v>
      </c>
      <c r="AH44" s="115">
        <v>1107441600</v>
      </c>
      <c r="AI44" s="115">
        <v>571962149</v>
      </c>
      <c r="AJ44" s="115">
        <f>AH44-AI44</f>
        <v>535479451</v>
      </c>
      <c r="AK44" s="115">
        <v>881932200</v>
      </c>
      <c r="AL44" s="115">
        <v>225509400</v>
      </c>
      <c r="AM44" s="115">
        <v>467878781</v>
      </c>
      <c r="AN44" s="115">
        <f>AK44-AM44</f>
        <v>414053419</v>
      </c>
      <c r="AO44" s="115">
        <v>102640329</v>
      </c>
      <c r="AP44" s="115">
        <v>31871400</v>
      </c>
      <c r="AQ44" s="115">
        <v>104083368</v>
      </c>
      <c r="AR44" s="115">
        <v>121426032</v>
      </c>
      <c r="AS44" s="115">
        <v>1107437999</v>
      </c>
      <c r="AT44" s="116">
        <v>1101949300</v>
      </c>
      <c r="AU44" s="115">
        <v>887552100</v>
      </c>
      <c r="AV44" s="115">
        <v>214397200</v>
      </c>
      <c r="AW44" s="118"/>
      <c r="AX44" s="115">
        <v>254876400</v>
      </c>
      <c r="AY44" s="115">
        <v>96767000</v>
      </c>
      <c r="AZ44" s="115"/>
      <c r="BA44" s="115">
        <v>2973393750</v>
      </c>
      <c r="BB44" s="115">
        <v>2515130164</v>
      </c>
      <c r="BC44" s="115">
        <v>458263586</v>
      </c>
      <c r="BD44" s="115"/>
      <c r="BE44" s="270" t="s">
        <v>185</v>
      </c>
      <c r="BF44" s="126">
        <v>65948760</v>
      </c>
      <c r="BG44" s="270" t="s">
        <v>185</v>
      </c>
      <c r="BH44" s="110"/>
      <c r="BI44" s="188"/>
    </row>
    <row r="45" spans="1:61" s="74" customFormat="1" ht="15" customHeight="1">
      <c r="A45" s="109">
        <v>2009</v>
      </c>
      <c r="B45" s="274" t="s">
        <v>218</v>
      </c>
      <c r="C45" s="274" t="s">
        <v>219</v>
      </c>
      <c r="D45" s="115">
        <v>660</v>
      </c>
      <c r="E45" s="259"/>
      <c r="F45" s="115">
        <f>584+152</f>
        <v>736</v>
      </c>
      <c r="G45" s="113"/>
      <c r="H45" s="270" t="s">
        <v>221</v>
      </c>
      <c r="I45" s="115">
        <v>660</v>
      </c>
      <c r="J45" s="115">
        <v>660</v>
      </c>
      <c r="K45" s="270" t="s">
        <v>185</v>
      </c>
      <c r="L45" s="112">
        <v>2.1</v>
      </c>
      <c r="M45" s="112">
        <v>2.1</v>
      </c>
      <c r="N45" s="110">
        <v>1782.5</v>
      </c>
      <c r="O45" s="112">
        <v>44.6</v>
      </c>
      <c r="P45" s="112">
        <v>32.2</v>
      </c>
      <c r="Q45" s="112">
        <v>32.2</v>
      </c>
      <c r="R45" s="112">
        <v>15.35</v>
      </c>
      <c r="S45" s="112">
        <v>15.35</v>
      </c>
      <c r="T45" s="270" t="s">
        <v>185</v>
      </c>
      <c r="U45" s="112">
        <f>3.1+6.53</f>
        <v>9.63</v>
      </c>
      <c r="V45" s="112">
        <v>2.4</v>
      </c>
      <c r="W45" s="112">
        <v>4.82</v>
      </c>
      <c r="X45" s="115">
        <v>364</v>
      </c>
      <c r="Y45" s="115">
        <v>344</v>
      </c>
      <c r="Z45" s="110">
        <v>2.8</v>
      </c>
      <c r="AA45" s="114">
        <v>430</v>
      </c>
      <c r="AB45" s="114">
        <v>61</v>
      </c>
      <c r="AC45" s="112">
        <v>20.5</v>
      </c>
      <c r="AD45" s="112">
        <v>9.7</v>
      </c>
      <c r="AE45" s="112">
        <v>10.8</v>
      </c>
      <c r="AF45" s="112">
        <v>20.5</v>
      </c>
      <c r="AG45" s="112">
        <v>20.5</v>
      </c>
      <c r="AH45" s="115">
        <v>1247143800</v>
      </c>
      <c r="AI45" s="115">
        <v>648569200</v>
      </c>
      <c r="AJ45" s="115">
        <f>AH45-AI45</f>
        <v>598574600</v>
      </c>
      <c r="AK45" s="115">
        <v>991637200</v>
      </c>
      <c r="AL45" s="115">
        <f>AH45-AK45</f>
        <v>255506600</v>
      </c>
      <c r="AM45" s="115">
        <v>529270400</v>
      </c>
      <c r="AN45" s="115">
        <f>AK45-AM45-AO45-AP45</f>
        <v>312229400</v>
      </c>
      <c r="AO45" s="115">
        <f>84287000+19362000</f>
        <v>103649000</v>
      </c>
      <c r="AP45" s="115">
        <v>46488400</v>
      </c>
      <c r="AQ45" s="115">
        <v>119298819</v>
      </c>
      <c r="AR45" s="115">
        <f>AL45-AQ45</f>
        <v>136207781</v>
      </c>
      <c r="AS45" s="115">
        <f>(AK45+AL45)*0.994</f>
        <v>1239660937.2</v>
      </c>
      <c r="AT45" s="116">
        <f>AU45+AV45</f>
        <v>1200666600</v>
      </c>
      <c r="AU45" s="115">
        <v>939370100</v>
      </c>
      <c r="AV45" s="115">
        <v>261296500</v>
      </c>
      <c r="AW45" s="118"/>
      <c r="AX45" s="115">
        <v>294692200</v>
      </c>
      <c r="AY45" s="115">
        <v>87202800</v>
      </c>
      <c r="AZ45" s="115"/>
      <c r="BA45" s="115">
        <f>BB45+BC45</f>
        <v>4682257195</v>
      </c>
      <c r="BB45" s="115">
        <v>4121657451</v>
      </c>
      <c r="BC45" s="115">
        <v>560599744</v>
      </c>
      <c r="BD45" s="115"/>
      <c r="BE45" s="270" t="s">
        <v>185</v>
      </c>
      <c r="BF45" s="126">
        <v>77040967</v>
      </c>
      <c r="BG45" s="270" t="s">
        <v>185</v>
      </c>
      <c r="BH45" s="110"/>
      <c r="BI45" s="196">
        <v>11.01</v>
      </c>
    </row>
    <row r="46" spans="1:61" s="74" customFormat="1" ht="15" customHeight="1">
      <c r="A46" s="109">
        <v>2010</v>
      </c>
      <c r="B46" s="275" t="s">
        <v>218</v>
      </c>
      <c r="C46" s="275" t="s">
        <v>219</v>
      </c>
      <c r="D46" s="115">
        <v>670</v>
      </c>
      <c r="E46" s="114">
        <v>3</v>
      </c>
      <c r="F46" s="115">
        <f>616+158</f>
        <v>774</v>
      </c>
      <c r="G46" s="113"/>
      <c r="H46" s="271" t="s">
        <v>221</v>
      </c>
      <c r="I46" s="115">
        <v>670</v>
      </c>
      <c r="J46" s="115">
        <v>670</v>
      </c>
      <c r="K46" s="271" t="s">
        <v>185</v>
      </c>
      <c r="L46" s="112">
        <v>5.2</v>
      </c>
      <c r="M46" s="112">
        <v>5.2</v>
      </c>
      <c r="N46" s="110">
        <v>1811</v>
      </c>
      <c r="O46" s="112">
        <v>42.5</v>
      </c>
      <c r="P46" s="112">
        <v>32.3</v>
      </c>
      <c r="Q46" s="112">
        <v>32.3</v>
      </c>
      <c r="R46" s="112">
        <v>17.3</v>
      </c>
      <c r="S46" s="112">
        <v>17.3</v>
      </c>
      <c r="T46" s="271" t="s">
        <v>185</v>
      </c>
      <c r="U46" s="112">
        <v>7.74</v>
      </c>
      <c r="V46" s="112">
        <v>3.03</v>
      </c>
      <c r="W46" s="112">
        <v>4.23</v>
      </c>
      <c r="X46" s="115">
        <v>320</v>
      </c>
      <c r="Y46" s="115">
        <v>355</v>
      </c>
      <c r="Z46" s="110">
        <v>2.9</v>
      </c>
      <c r="AA46" s="114">
        <v>430</v>
      </c>
      <c r="AB46" s="114">
        <v>49</v>
      </c>
      <c r="AC46" s="112">
        <v>21</v>
      </c>
      <c r="AD46" s="112">
        <v>10.3</v>
      </c>
      <c r="AE46" s="112">
        <v>10.7</v>
      </c>
      <c r="AF46" s="112">
        <v>21</v>
      </c>
      <c r="AG46" s="112">
        <v>21</v>
      </c>
      <c r="AH46" s="115">
        <v>1812356200</v>
      </c>
      <c r="AI46" s="115">
        <v>767280800</v>
      </c>
      <c r="AJ46" s="115">
        <v>1045075400</v>
      </c>
      <c r="AK46" s="115">
        <v>1415471500</v>
      </c>
      <c r="AL46" s="115">
        <v>396884700</v>
      </c>
      <c r="AM46" s="115">
        <v>632094800</v>
      </c>
      <c r="AN46" s="115">
        <f>AK46-AM46-AO46-AP46</f>
        <v>520876710</v>
      </c>
      <c r="AO46" s="115">
        <f>222837590+4598100</f>
        <v>227435690</v>
      </c>
      <c r="AP46" s="115">
        <v>35064300</v>
      </c>
      <c r="AQ46" s="115">
        <v>135195690</v>
      </c>
      <c r="AR46" s="115">
        <f>AL46-AQ46</f>
        <v>261689010</v>
      </c>
      <c r="AS46" s="115">
        <f>(AK46+AL46)*0.995</f>
        <v>1803294419</v>
      </c>
      <c r="AT46" s="116">
        <f>AU46+AV46</f>
        <v>1506578200</v>
      </c>
      <c r="AU46" s="115">
        <v>1166772600</v>
      </c>
      <c r="AV46" s="115">
        <v>339805600</v>
      </c>
      <c r="AW46" s="118"/>
      <c r="AX46" s="115">
        <v>364032600</v>
      </c>
      <c r="AY46" s="115">
        <v>108577000</v>
      </c>
      <c r="AZ46" s="115"/>
      <c r="BA46" s="115">
        <f>BB46+BC46</f>
        <v>5387237065</v>
      </c>
      <c r="BB46" s="115">
        <v>4596925814</v>
      </c>
      <c r="BC46" s="115">
        <v>790311251</v>
      </c>
      <c r="BD46" s="115"/>
      <c r="BE46" s="271" t="s">
        <v>185</v>
      </c>
      <c r="BF46" s="126">
        <v>105990345</v>
      </c>
      <c r="BG46" s="271" t="s">
        <v>185</v>
      </c>
      <c r="BH46" s="110"/>
      <c r="BI46" s="196">
        <v>15.22</v>
      </c>
    </row>
    <row r="47" spans="1:60" s="74" customFormat="1" ht="6" customHeight="1">
      <c r="A47" s="76"/>
      <c r="B47" s="81"/>
      <c r="C47" s="81"/>
      <c r="D47" s="75"/>
      <c r="E47" s="78"/>
      <c r="H47" s="8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  <c r="U47" s="83"/>
      <c r="V47" s="83"/>
      <c r="W47" s="83"/>
      <c r="X47" s="78"/>
      <c r="Y47" s="83"/>
      <c r="Z47" s="83"/>
      <c r="AA47" s="83"/>
      <c r="AB47" s="78"/>
      <c r="AC47" s="83"/>
      <c r="AD47" s="83"/>
      <c r="AE47" s="83"/>
      <c r="AF47" s="83"/>
      <c r="AG47" s="83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85"/>
    </row>
    <row r="48" spans="1:61" s="74" customFormat="1" ht="15" customHeight="1">
      <c r="A48" s="188">
        <v>2006</v>
      </c>
      <c r="B48" s="236" t="s">
        <v>204</v>
      </c>
      <c r="C48" s="236" t="s">
        <v>205</v>
      </c>
      <c r="D48" s="190">
        <v>461</v>
      </c>
      <c r="E48" s="236" t="s">
        <v>206</v>
      </c>
      <c r="F48" s="188">
        <v>2032</v>
      </c>
      <c r="G48" s="285">
        <v>0.49</v>
      </c>
      <c r="H48" s="236" t="s">
        <v>207</v>
      </c>
      <c r="I48" s="190">
        <v>373</v>
      </c>
      <c r="J48" s="190">
        <v>370</v>
      </c>
      <c r="K48" s="195">
        <v>3.3</v>
      </c>
      <c r="L48" s="195">
        <v>7.9</v>
      </c>
      <c r="M48" s="236">
        <v>0</v>
      </c>
      <c r="N48" s="190">
        <v>932.2</v>
      </c>
      <c r="O48" s="192">
        <v>84.4</v>
      </c>
      <c r="P48" s="192">
        <v>5.2</v>
      </c>
      <c r="Q48" s="192">
        <v>57.3</v>
      </c>
      <c r="R48" s="195">
        <v>10.7</v>
      </c>
      <c r="S48" s="192">
        <v>10.67</v>
      </c>
      <c r="T48" s="192">
        <v>0.06</v>
      </c>
      <c r="U48" s="195">
        <v>37.3</v>
      </c>
      <c r="V48" s="195">
        <v>1.2</v>
      </c>
      <c r="W48" s="195">
        <v>8.1</v>
      </c>
      <c r="X48" s="190">
        <v>2972</v>
      </c>
      <c r="Y48" s="190">
        <v>327</v>
      </c>
      <c r="Z48" s="236">
        <v>6.5</v>
      </c>
      <c r="AA48" s="236">
        <v>636.8</v>
      </c>
      <c r="AB48" s="193">
        <v>20362</v>
      </c>
      <c r="AC48" s="283">
        <v>61</v>
      </c>
      <c r="AD48" s="280">
        <v>15</v>
      </c>
      <c r="AE48" s="195">
        <v>8</v>
      </c>
      <c r="AF48" s="283">
        <v>61</v>
      </c>
      <c r="AG48" s="195">
        <v>61</v>
      </c>
      <c r="AH48" s="190">
        <v>2340598000</v>
      </c>
      <c r="AI48" s="190">
        <v>659829000</v>
      </c>
      <c r="AJ48" s="190">
        <v>1680769000</v>
      </c>
      <c r="AK48" s="190">
        <v>1873359000</v>
      </c>
      <c r="AL48" s="190">
        <v>467239000</v>
      </c>
      <c r="AM48" s="190">
        <v>366885000</v>
      </c>
      <c r="AN48" s="190">
        <v>1467427000</v>
      </c>
      <c r="AO48" s="190">
        <v>39047000</v>
      </c>
      <c r="AP48" s="190">
        <v>191864000</v>
      </c>
      <c r="AQ48" s="190">
        <v>292944000</v>
      </c>
      <c r="AR48" s="190">
        <v>174295000</v>
      </c>
      <c r="AS48" s="190">
        <v>1857506000</v>
      </c>
      <c r="AT48" s="197">
        <v>2496818000</v>
      </c>
      <c r="AU48" s="190">
        <v>1790475000</v>
      </c>
      <c r="AV48" s="190">
        <v>391483000</v>
      </c>
      <c r="AW48" s="190">
        <v>314860000</v>
      </c>
      <c r="AX48" s="190">
        <v>680551000</v>
      </c>
      <c r="AY48" s="190">
        <v>316493000</v>
      </c>
      <c r="AZ48" s="190">
        <v>171843000</v>
      </c>
      <c r="BA48" s="190">
        <v>863567000</v>
      </c>
      <c r="BB48" s="190">
        <v>531268000</v>
      </c>
      <c r="BC48" s="190">
        <v>249990000</v>
      </c>
      <c r="BD48" s="190">
        <v>82309000</v>
      </c>
      <c r="BE48" s="188">
        <v>67499000</v>
      </c>
      <c r="BF48" s="188">
        <v>1052164000</v>
      </c>
      <c r="BG48" s="191" t="s">
        <v>185</v>
      </c>
      <c r="BH48" s="236">
        <v>140</v>
      </c>
      <c r="BI48" s="109"/>
    </row>
    <row r="49" spans="1:61" s="74" customFormat="1" ht="15" customHeight="1">
      <c r="A49" s="188">
        <v>2007</v>
      </c>
      <c r="B49" s="237" t="s">
        <v>204</v>
      </c>
      <c r="C49" s="237" t="s">
        <v>205</v>
      </c>
      <c r="D49" s="190">
        <v>467</v>
      </c>
      <c r="E49" s="237" t="s">
        <v>206</v>
      </c>
      <c r="F49" s="188">
        <v>1659</v>
      </c>
      <c r="G49" s="286"/>
      <c r="H49" s="237" t="s">
        <v>207</v>
      </c>
      <c r="I49" s="190">
        <v>391</v>
      </c>
      <c r="J49" s="190">
        <v>388</v>
      </c>
      <c r="K49" s="195">
        <v>2.9</v>
      </c>
      <c r="L49" s="195">
        <v>7.9</v>
      </c>
      <c r="M49" s="237">
        <v>0</v>
      </c>
      <c r="N49" s="190">
        <v>932.2</v>
      </c>
      <c r="O49" s="192">
        <v>83.8</v>
      </c>
      <c r="P49" s="192">
        <v>5.73</v>
      </c>
      <c r="Q49" s="192">
        <v>55.7</v>
      </c>
      <c r="R49" s="195">
        <v>10.3</v>
      </c>
      <c r="S49" s="192">
        <v>10.24</v>
      </c>
      <c r="T49" s="192">
        <v>0.05</v>
      </c>
      <c r="U49" s="195">
        <v>36.8</v>
      </c>
      <c r="V49" s="195">
        <v>1.1</v>
      </c>
      <c r="W49" s="195">
        <v>7.5</v>
      </c>
      <c r="X49" s="190">
        <v>3111</v>
      </c>
      <c r="Y49" s="190">
        <v>343.5</v>
      </c>
      <c r="Z49" s="237">
        <v>6.5</v>
      </c>
      <c r="AA49" s="237">
        <v>636.8</v>
      </c>
      <c r="AB49" s="191">
        <v>20236</v>
      </c>
      <c r="AC49" s="284">
        <v>61</v>
      </c>
      <c r="AD49" s="281"/>
      <c r="AE49" s="283">
        <v>9</v>
      </c>
      <c r="AF49" s="284">
        <v>61</v>
      </c>
      <c r="AG49" s="195">
        <v>61</v>
      </c>
      <c r="AH49" s="190">
        <v>1888417000</v>
      </c>
      <c r="AI49" s="190">
        <v>661602000</v>
      </c>
      <c r="AJ49" s="190">
        <v>1226815000</v>
      </c>
      <c r="AK49" s="190">
        <v>1428242000</v>
      </c>
      <c r="AL49" s="190">
        <v>460175000</v>
      </c>
      <c r="AM49" s="190">
        <v>374773000</v>
      </c>
      <c r="AN49" s="190">
        <v>1012424000</v>
      </c>
      <c r="AO49" s="190">
        <v>41045000</v>
      </c>
      <c r="AP49" s="190">
        <v>160573000</v>
      </c>
      <c r="AQ49" s="190">
        <v>286829000</v>
      </c>
      <c r="AR49" s="190">
        <v>173346000</v>
      </c>
      <c r="AS49" s="190">
        <v>1874590000</v>
      </c>
      <c r="AT49" s="197">
        <v>2519315000</v>
      </c>
      <c r="AU49" s="190">
        <v>1711830000</v>
      </c>
      <c r="AV49" s="190">
        <v>439407000</v>
      </c>
      <c r="AW49" s="190">
        <v>368078000</v>
      </c>
      <c r="AX49" s="190">
        <v>642489000</v>
      </c>
      <c r="AY49" s="190">
        <v>370248000</v>
      </c>
      <c r="AZ49" s="190">
        <v>327134000</v>
      </c>
      <c r="BA49" s="190">
        <v>5904075000</v>
      </c>
      <c r="BB49" s="190">
        <v>3937993000</v>
      </c>
      <c r="BC49" s="190">
        <v>1663332000</v>
      </c>
      <c r="BD49" s="190">
        <v>302750000</v>
      </c>
      <c r="BE49" s="188">
        <v>66712000</v>
      </c>
      <c r="BF49" s="190">
        <v>807974000</v>
      </c>
      <c r="BG49" s="239" t="s">
        <v>184</v>
      </c>
      <c r="BH49" s="237">
        <v>140</v>
      </c>
      <c r="BI49" s="109"/>
    </row>
    <row r="50" spans="1:61" s="74" customFormat="1" ht="15" customHeight="1">
      <c r="A50" s="188">
        <v>2008</v>
      </c>
      <c r="B50" s="237" t="s">
        <v>204</v>
      </c>
      <c r="C50" s="237" t="s">
        <v>205</v>
      </c>
      <c r="D50" s="190">
        <v>469</v>
      </c>
      <c r="E50" s="237" t="s">
        <v>206</v>
      </c>
      <c r="F50" s="188">
        <v>1556</v>
      </c>
      <c r="G50" s="286"/>
      <c r="H50" s="237" t="s">
        <v>207</v>
      </c>
      <c r="I50" s="190">
        <v>408.98</v>
      </c>
      <c r="J50" s="190">
        <v>406.09</v>
      </c>
      <c r="K50" s="195">
        <v>2.89</v>
      </c>
      <c r="L50" s="195">
        <v>7.9</v>
      </c>
      <c r="M50" s="237">
        <v>0</v>
      </c>
      <c r="N50" s="190">
        <v>971.8</v>
      </c>
      <c r="O50" s="192">
        <v>88.4</v>
      </c>
      <c r="P50" s="192">
        <v>6.04</v>
      </c>
      <c r="Q50" s="192">
        <v>58.8</v>
      </c>
      <c r="R50" s="195">
        <v>11.5</v>
      </c>
      <c r="S50" s="192">
        <v>11.45</v>
      </c>
      <c r="T50" s="192">
        <v>0.05</v>
      </c>
      <c r="U50" s="195">
        <v>37.4</v>
      </c>
      <c r="V50" s="195">
        <v>1.1</v>
      </c>
      <c r="W50" s="195">
        <v>8.8</v>
      </c>
      <c r="X50" s="190">
        <v>3630</v>
      </c>
      <c r="Y50" s="190">
        <v>347.2</v>
      </c>
      <c r="Z50" s="237">
        <v>6.5</v>
      </c>
      <c r="AA50" s="237">
        <v>636.8</v>
      </c>
      <c r="AB50" s="193">
        <v>22132</v>
      </c>
      <c r="AC50" s="195">
        <v>24</v>
      </c>
      <c r="AD50" s="282"/>
      <c r="AE50" s="284">
        <v>9</v>
      </c>
      <c r="AF50" s="195">
        <v>59</v>
      </c>
      <c r="AG50" s="195">
        <v>59</v>
      </c>
      <c r="AH50" s="190">
        <v>2220053000</v>
      </c>
      <c r="AI50" s="190">
        <v>725836000</v>
      </c>
      <c r="AJ50" s="190">
        <v>1425857000</v>
      </c>
      <c r="AK50" s="190">
        <v>1746947000</v>
      </c>
      <c r="AL50" s="190">
        <v>473106000</v>
      </c>
      <c r="AM50" s="190">
        <v>426800000</v>
      </c>
      <c r="AN50" s="190">
        <v>1080203000</v>
      </c>
      <c r="AO50" s="190">
        <v>41739000</v>
      </c>
      <c r="AP50" s="190">
        <v>198205000</v>
      </c>
      <c r="AQ50" s="190">
        <v>299037000</v>
      </c>
      <c r="AR50" s="190">
        <v>174069000</v>
      </c>
      <c r="AS50" s="190">
        <v>1902698000</v>
      </c>
      <c r="AT50" s="197">
        <v>3120879000</v>
      </c>
      <c r="AU50" s="190">
        <v>2119184000</v>
      </c>
      <c r="AV50" s="190">
        <v>560585000</v>
      </c>
      <c r="AW50" s="190">
        <v>441110000</v>
      </c>
      <c r="AX50" s="190">
        <v>778024000</v>
      </c>
      <c r="AY50" s="190">
        <v>504998000</v>
      </c>
      <c r="AZ50" s="190">
        <v>303786000</v>
      </c>
      <c r="BA50" s="190">
        <v>5606807000</v>
      </c>
      <c r="BB50" s="190">
        <v>3820652000</v>
      </c>
      <c r="BC50" s="190">
        <v>1601256000</v>
      </c>
      <c r="BD50" s="190">
        <v>184899000</v>
      </c>
      <c r="BE50" s="188">
        <v>66645000</v>
      </c>
      <c r="BF50" s="190">
        <v>644219000</v>
      </c>
      <c r="BG50" s="241"/>
      <c r="BH50" s="237">
        <v>140</v>
      </c>
      <c r="BI50" s="109"/>
    </row>
    <row r="51" spans="1:61" s="26" customFormat="1" ht="15" customHeight="1">
      <c r="A51" s="188">
        <v>2009</v>
      </c>
      <c r="B51" s="237" t="s">
        <v>204</v>
      </c>
      <c r="C51" s="237" t="s">
        <v>205</v>
      </c>
      <c r="D51" s="190">
        <v>470.5</v>
      </c>
      <c r="E51" s="237" t="s">
        <v>206</v>
      </c>
      <c r="F51" s="188">
        <v>1898</v>
      </c>
      <c r="G51" s="286"/>
      <c r="H51" s="237" t="s">
        <v>207</v>
      </c>
      <c r="I51" s="190">
        <v>382.1</v>
      </c>
      <c r="J51" s="190">
        <v>379.2</v>
      </c>
      <c r="K51" s="195">
        <v>2.9</v>
      </c>
      <c r="L51" s="195">
        <v>7.9</v>
      </c>
      <c r="M51" s="237">
        <v>0</v>
      </c>
      <c r="N51" s="190">
        <v>971.8</v>
      </c>
      <c r="O51" s="192">
        <v>57.24</v>
      </c>
      <c r="P51" s="192">
        <v>51.87</v>
      </c>
      <c r="Q51" s="192">
        <v>57.24</v>
      </c>
      <c r="R51" s="195">
        <v>12.4</v>
      </c>
      <c r="S51" s="192">
        <v>12.35</v>
      </c>
      <c r="T51" s="192">
        <v>0.05</v>
      </c>
      <c r="U51" s="195">
        <v>43.4</v>
      </c>
      <c r="V51" s="195">
        <v>1.1</v>
      </c>
      <c r="W51" s="195">
        <v>8.4</v>
      </c>
      <c r="X51" s="190">
        <v>3301</v>
      </c>
      <c r="Y51" s="190">
        <v>353.1</v>
      </c>
      <c r="Z51" s="237">
        <v>6.5</v>
      </c>
      <c r="AA51" s="237">
        <v>636.8</v>
      </c>
      <c r="AB51" s="191">
        <v>20247</v>
      </c>
      <c r="AC51" s="195">
        <v>23.4</v>
      </c>
      <c r="AD51" s="195">
        <v>15.4</v>
      </c>
      <c r="AE51" s="195">
        <v>8</v>
      </c>
      <c r="AF51" s="195">
        <v>54.8</v>
      </c>
      <c r="AG51" s="195">
        <v>54.8</v>
      </c>
      <c r="AH51" s="190">
        <v>2601349000</v>
      </c>
      <c r="AI51" s="190">
        <v>826081000</v>
      </c>
      <c r="AJ51" s="190">
        <v>1775268000</v>
      </c>
      <c r="AK51" s="190">
        <v>2084865000</v>
      </c>
      <c r="AL51" s="190">
        <v>516484000</v>
      </c>
      <c r="AM51" s="190">
        <v>493212000</v>
      </c>
      <c r="AN51" s="190">
        <v>1534889000</v>
      </c>
      <c r="AO51" s="190">
        <v>56764000</v>
      </c>
      <c r="AP51" s="190">
        <v>210122000</v>
      </c>
      <c r="AQ51" s="190">
        <v>332869000</v>
      </c>
      <c r="AR51" s="190">
        <v>183615000</v>
      </c>
      <c r="AS51" s="190">
        <v>2559600000</v>
      </c>
      <c r="AT51" s="197">
        <v>2789453000</v>
      </c>
      <c r="AU51" s="190">
        <v>2068353000</v>
      </c>
      <c r="AV51" s="190">
        <v>398771000</v>
      </c>
      <c r="AW51" s="190">
        <v>322329000</v>
      </c>
      <c r="AX51" s="190">
        <v>777089000</v>
      </c>
      <c r="AY51" s="190">
        <v>546555000</v>
      </c>
      <c r="AZ51" s="190">
        <v>171843000</v>
      </c>
      <c r="BA51" s="190">
        <v>5368657000</v>
      </c>
      <c r="BB51" s="190">
        <v>3505913000</v>
      </c>
      <c r="BC51" s="190">
        <v>1486516000</v>
      </c>
      <c r="BD51" s="190">
        <v>376228000</v>
      </c>
      <c r="BE51" s="190">
        <v>0</v>
      </c>
      <c r="BF51" s="190">
        <v>792100000</v>
      </c>
      <c r="BG51" s="239" t="s">
        <v>185</v>
      </c>
      <c r="BH51" s="237">
        <v>140</v>
      </c>
      <c r="BI51" s="109">
        <v>112.24</v>
      </c>
    </row>
    <row r="52" spans="1:61" s="26" customFormat="1" ht="15" customHeight="1">
      <c r="A52" s="188">
        <v>2010</v>
      </c>
      <c r="B52" s="238" t="s">
        <v>204</v>
      </c>
      <c r="C52" s="238" t="s">
        <v>205</v>
      </c>
      <c r="D52" s="190">
        <v>471.8</v>
      </c>
      <c r="E52" s="238" t="s">
        <v>206</v>
      </c>
      <c r="F52" s="188">
        <v>2038</v>
      </c>
      <c r="G52" s="287"/>
      <c r="H52" s="238" t="s">
        <v>207</v>
      </c>
      <c r="I52" s="190">
        <v>376.1</v>
      </c>
      <c r="J52" s="190">
        <v>374.7</v>
      </c>
      <c r="K52" s="195">
        <v>1.4</v>
      </c>
      <c r="L52" s="195">
        <v>7.9</v>
      </c>
      <c r="M52" s="238">
        <v>0</v>
      </c>
      <c r="N52" s="190">
        <v>971.8</v>
      </c>
      <c r="O52" s="192">
        <v>54.52</v>
      </c>
      <c r="P52" s="192">
        <v>49.4</v>
      </c>
      <c r="Q52" s="192">
        <v>54.52</v>
      </c>
      <c r="R52" s="195">
        <v>12.5</v>
      </c>
      <c r="S52" s="192">
        <v>12.47</v>
      </c>
      <c r="T52" s="192">
        <v>0.03</v>
      </c>
      <c r="U52" s="195">
        <v>40.5</v>
      </c>
      <c r="V52" s="195">
        <v>1.6</v>
      </c>
      <c r="W52" s="195">
        <v>9.4</v>
      </c>
      <c r="X52" s="190">
        <v>2859</v>
      </c>
      <c r="Y52" s="190">
        <v>346.4</v>
      </c>
      <c r="Z52" s="238">
        <v>6.5</v>
      </c>
      <c r="AA52" s="238">
        <v>636.8</v>
      </c>
      <c r="AB52" s="191">
        <v>21385</v>
      </c>
      <c r="AC52" s="195">
        <v>22.4</v>
      </c>
      <c r="AD52" s="195">
        <v>15</v>
      </c>
      <c r="AE52" s="195">
        <v>7.4</v>
      </c>
      <c r="AF52" s="195">
        <v>54</v>
      </c>
      <c r="AG52" s="195">
        <v>54</v>
      </c>
      <c r="AH52" s="190">
        <v>3555426000</v>
      </c>
      <c r="AI52" s="190">
        <v>1103425000</v>
      </c>
      <c r="AJ52" s="190">
        <v>2452001000</v>
      </c>
      <c r="AK52" s="190">
        <v>2730840000</v>
      </c>
      <c r="AL52" s="190">
        <v>824586000</v>
      </c>
      <c r="AM52" s="190">
        <v>570220000</v>
      </c>
      <c r="AN52" s="190">
        <v>2033610000</v>
      </c>
      <c r="AO52" s="190">
        <v>127010000</v>
      </c>
      <c r="AP52" s="190">
        <v>261181000</v>
      </c>
      <c r="AQ52" s="190">
        <v>533205000</v>
      </c>
      <c r="AR52" s="190">
        <v>291381000</v>
      </c>
      <c r="AS52" s="190">
        <v>3871800000</v>
      </c>
      <c r="AT52" s="197">
        <v>3542010000</v>
      </c>
      <c r="AU52" s="190">
        <v>2496894000</v>
      </c>
      <c r="AV52" s="190">
        <v>550493000</v>
      </c>
      <c r="AW52" s="190">
        <v>494623000</v>
      </c>
      <c r="AX52" s="190">
        <v>994268000</v>
      </c>
      <c r="AY52" s="190">
        <v>750713000</v>
      </c>
      <c r="AZ52" s="190">
        <v>327134000</v>
      </c>
      <c r="BA52" s="190">
        <v>5158829000</v>
      </c>
      <c r="BB52" s="190">
        <v>3447347000</v>
      </c>
      <c r="BC52" s="190">
        <v>1351618000</v>
      </c>
      <c r="BD52" s="190">
        <v>359864000</v>
      </c>
      <c r="BE52" s="190">
        <v>0</v>
      </c>
      <c r="BF52" s="190">
        <v>876600000</v>
      </c>
      <c r="BG52" s="241" t="s">
        <v>185</v>
      </c>
      <c r="BH52" s="238">
        <v>140</v>
      </c>
      <c r="BI52" s="109">
        <v>108.27</v>
      </c>
    </row>
    <row r="53" spans="1:60" s="74" customFormat="1" ht="6" customHeight="1">
      <c r="A53" s="76"/>
      <c r="B53" s="81"/>
      <c r="C53" s="81"/>
      <c r="D53" s="75"/>
      <c r="E53" s="78"/>
      <c r="H53" s="82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4"/>
      <c r="U53" s="83"/>
      <c r="V53" s="83"/>
      <c r="W53" s="83"/>
      <c r="X53" s="78"/>
      <c r="Y53" s="83"/>
      <c r="Z53" s="83"/>
      <c r="AA53" s="83"/>
      <c r="AB53" s="78"/>
      <c r="AC53" s="83"/>
      <c r="AD53" s="83"/>
      <c r="AE53" s="83"/>
      <c r="AF53" s="83"/>
      <c r="AG53" s="83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85"/>
    </row>
    <row r="54" spans="1:61" ht="15" customHeight="1">
      <c r="A54" s="188">
        <v>2000</v>
      </c>
      <c r="B54" s="236" t="s">
        <v>222</v>
      </c>
      <c r="C54" s="254" t="s">
        <v>223</v>
      </c>
      <c r="D54" s="192" t="s">
        <v>224</v>
      </c>
      <c r="E54" s="239">
        <v>1</v>
      </c>
      <c r="F54" s="188">
        <v>845</v>
      </c>
      <c r="G54" s="254" t="s">
        <v>211</v>
      </c>
      <c r="H54" s="254" t="s">
        <v>187</v>
      </c>
      <c r="I54" s="190">
        <v>169.874</v>
      </c>
      <c r="J54" s="190">
        <v>158</v>
      </c>
      <c r="K54" s="190">
        <v>11.871</v>
      </c>
      <c r="L54" s="192"/>
      <c r="M54" s="192"/>
      <c r="N54" s="190">
        <v>504.2</v>
      </c>
      <c r="O54" s="192">
        <v>21.65</v>
      </c>
      <c r="P54" s="192"/>
      <c r="Q54" s="192">
        <v>20.163</v>
      </c>
      <c r="R54" s="192">
        <v>7.12</v>
      </c>
      <c r="S54" s="192">
        <v>7.12</v>
      </c>
      <c r="T54" s="192"/>
      <c r="U54" s="192">
        <v>11.863</v>
      </c>
      <c r="V54" s="192">
        <v>1.18</v>
      </c>
      <c r="W54" s="254" t="s">
        <v>225</v>
      </c>
      <c r="X54" s="190">
        <v>440</v>
      </c>
      <c r="Y54" s="190">
        <v>173.436</v>
      </c>
      <c r="Z54" s="192">
        <v>1.16</v>
      </c>
      <c r="AA54" s="193">
        <v>358.7</v>
      </c>
      <c r="AB54" s="193">
        <v>5840</v>
      </c>
      <c r="AC54" s="192">
        <v>15.597</v>
      </c>
      <c r="AD54" s="192">
        <v>10.177</v>
      </c>
      <c r="AE54" s="192">
        <v>5.42</v>
      </c>
      <c r="AF54" s="192">
        <v>15.597</v>
      </c>
      <c r="AG54" s="192">
        <v>15.597</v>
      </c>
      <c r="AH54" s="190">
        <v>508555000</v>
      </c>
      <c r="AI54" s="190">
        <v>261821000</v>
      </c>
      <c r="AJ54" s="190">
        <v>246734000</v>
      </c>
      <c r="AK54" s="190">
        <v>289615000</v>
      </c>
      <c r="AL54" s="190">
        <v>218940000</v>
      </c>
      <c r="AM54" s="190">
        <v>118420000</v>
      </c>
      <c r="AN54" s="190">
        <v>151984000</v>
      </c>
      <c r="AO54" s="190">
        <v>19211000</v>
      </c>
      <c r="AP54" s="254">
        <v>0</v>
      </c>
      <c r="AQ54" s="190">
        <v>141967000</v>
      </c>
      <c r="AR54" s="190">
        <v>76973000</v>
      </c>
      <c r="AS54" s="190">
        <v>508555000</v>
      </c>
      <c r="AT54" s="197">
        <v>516483000</v>
      </c>
      <c r="AU54" s="190">
        <v>301058000</v>
      </c>
      <c r="AV54" s="190">
        <v>215425000</v>
      </c>
      <c r="AW54" s="190"/>
      <c r="AX54" s="190">
        <v>122452700</v>
      </c>
      <c r="AY54" s="190">
        <v>195928000</v>
      </c>
      <c r="AZ54" s="254" t="s">
        <v>185</v>
      </c>
      <c r="BA54" s="190">
        <v>23644000</v>
      </c>
      <c r="BB54" s="190">
        <v>10240000</v>
      </c>
      <c r="BC54" s="190">
        <v>13404000</v>
      </c>
      <c r="BD54" s="190"/>
      <c r="BE54" s="254" t="s">
        <v>185</v>
      </c>
      <c r="BF54" s="230" t="s">
        <v>226</v>
      </c>
      <c r="BG54" s="239" t="s">
        <v>185</v>
      </c>
      <c r="BH54" s="254">
        <v>160</v>
      </c>
      <c r="BI54" s="188"/>
    </row>
    <row r="55" spans="1:61" ht="15" customHeight="1">
      <c r="A55" s="188">
        <v>2001</v>
      </c>
      <c r="B55" s="237" t="s">
        <v>222</v>
      </c>
      <c r="C55" s="255" t="s">
        <v>223</v>
      </c>
      <c r="D55" s="192" t="s">
        <v>227</v>
      </c>
      <c r="E55" s="240"/>
      <c r="F55" s="188">
        <v>859</v>
      </c>
      <c r="G55" s="255" t="s">
        <v>211</v>
      </c>
      <c r="H55" s="255" t="s">
        <v>187</v>
      </c>
      <c r="I55" s="190">
        <v>172.148</v>
      </c>
      <c r="J55" s="190">
        <v>158.84</v>
      </c>
      <c r="K55" s="190">
        <v>13.308</v>
      </c>
      <c r="L55" s="192">
        <v>0.766</v>
      </c>
      <c r="M55" s="192"/>
      <c r="N55" s="190">
        <v>505.8</v>
      </c>
      <c r="O55" s="192">
        <v>20.24</v>
      </c>
      <c r="P55" s="192"/>
      <c r="Q55" s="192">
        <v>19.44</v>
      </c>
      <c r="R55" s="192">
        <v>8.068</v>
      </c>
      <c r="S55" s="192">
        <v>8.068</v>
      </c>
      <c r="T55" s="192"/>
      <c r="U55" s="192">
        <v>10.234</v>
      </c>
      <c r="V55" s="192">
        <v>1.135</v>
      </c>
      <c r="W55" s="255" t="s">
        <v>225</v>
      </c>
      <c r="X55" s="190">
        <v>436</v>
      </c>
      <c r="Y55" s="190">
        <v>175.616</v>
      </c>
      <c r="Z55" s="192">
        <v>1.32</v>
      </c>
      <c r="AA55" s="193">
        <v>361.9</v>
      </c>
      <c r="AB55" s="193">
        <v>5420</v>
      </c>
      <c r="AC55" s="192">
        <v>15.431</v>
      </c>
      <c r="AD55" s="192">
        <v>10.039</v>
      </c>
      <c r="AE55" s="192">
        <v>5.392</v>
      </c>
      <c r="AF55" s="192">
        <v>15.431</v>
      </c>
      <c r="AG55" s="192">
        <v>15.431</v>
      </c>
      <c r="AH55" s="190">
        <v>510267000</v>
      </c>
      <c r="AI55" s="190">
        <v>262993000</v>
      </c>
      <c r="AJ55" s="190">
        <v>247274000</v>
      </c>
      <c r="AK55" s="190">
        <v>290753000</v>
      </c>
      <c r="AL55" s="190">
        <v>219514000</v>
      </c>
      <c r="AM55" s="190">
        <v>120781000</v>
      </c>
      <c r="AN55" s="190">
        <v>152998000</v>
      </c>
      <c r="AO55" s="190">
        <v>16974000</v>
      </c>
      <c r="AP55" s="255">
        <v>0</v>
      </c>
      <c r="AQ55" s="190">
        <v>142212000</v>
      </c>
      <c r="AR55" s="190">
        <v>77302000</v>
      </c>
      <c r="AS55" s="190">
        <v>510267000</v>
      </c>
      <c r="AT55" s="197">
        <v>564379000</v>
      </c>
      <c r="AU55" s="190">
        <v>296740000</v>
      </c>
      <c r="AV55" s="190">
        <v>267639000</v>
      </c>
      <c r="AW55" s="190"/>
      <c r="AX55" s="190">
        <v>139857300</v>
      </c>
      <c r="AY55" s="190">
        <v>196457000</v>
      </c>
      <c r="AZ55" s="255" t="s">
        <v>185</v>
      </c>
      <c r="BA55" s="190">
        <v>42868000</v>
      </c>
      <c r="BB55" s="190">
        <v>27248000</v>
      </c>
      <c r="BC55" s="190">
        <v>15620000</v>
      </c>
      <c r="BD55" s="190"/>
      <c r="BE55" s="255" t="s">
        <v>185</v>
      </c>
      <c r="BF55" s="231"/>
      <c r="BG55" s="240"/>
      <c r="BH55" s="255"/>
      <c r="BI55" s="188"/>
    </row>
    <row r="56" spans="1:61" ht="15" customHeight="1">
      <c r="A56" s="188">
        <v>2002</v>
      </c>
      <c r="B56" s="237" t="s">
        <v>222</v>
      </c>
      <c r="C56" s="255" t="s">
        <v>223</v>
      </c>
      <c r="D56" s="192" t="s">
        <v>228</v>
      </c>
      <c r="E56" s="240"/>
      <c r="F56" s="188">
        <v>863</v>
      </c>
      <c r="G56" s="255" t="s">
        <v>211</v>
      </c>
      <c r="H56" s="255" t="s">
        <v>187</v>
      </c>
      <c r="I56" s="190">
        <v>174.356</v>
      </c>
      <c r="J56" s="190">
        <v>160.718</v>
      </c>
      <c r="K56" s="190">
        <v>13.638</v>
      </c>
      <c r="L56" s="192">
        <v>0.648</v>
      </c>
      <c r="M56" s="192"/>
      <c r="N56" s="190">
        <v>506.8</v>
      </c>
      <c r="O56" s="192">
        <v>21.525</v>
      </c>
      <c r="P56" s="192"/>
      <c r="Q56" s="192">
        <v>20.791</v>
      </c>
      <c r="R56" s="192">
        <v>7.882</v>
      </c>
      <c r="S56" s="192">
        <v>7.882</v>
      </c>
      <c r="T56" s="192"/>
      <c r="U56" s="192">
        <v>11.504</v>
      </c>
      <c r="V56" s="192">
        <v>1.405</v>
      </c>
      <c r="W56" s="255" t="s">
        <v>225</v>
      </c>
      <c r="X56" s="190">
        <v>412</v>
      </c>
      <c r="Y56" s="190">
        <v>177.817</v>
      </c>
      <c r="Z56" s="192">
        <v>1.48</v>
      </c>
      <c r="AA56" s="193">
        <v>363.3</v>
      </c>
      <c r="AB56" s="193">
        <v>6115</v>
      </c>
      <c r="AC56" s="192">
        <v>15.71</v>
      </c>
      <c r="AD56" s="192">
        <v>9.678</v>
      </c>
      <c r="AE56" s="192">
        <v>6.032</v>
      </c>
      <c r="AF56" s="192">
        <v>15.71</v>
      </c>
      <c r="AG56" s="192">
        <v>15.71</v>
      </c>
      <c r="AH56" s="198">
        <v>588317000</v>
      </c>
      <c r="AI56" s="190">
        <v>280642000</v>
      </c>
      <c r="AJ56" s="190">
        <v>307675000</v>
      </c>
      <c r="AK56" s="191">
        <v>342020000</v>
      </c>
      <c r="AL56" s="190">
        <v>246297000</v>
      </c>
      <c r="AM56" s="191">
        <v>129652000</v>
      </c>
      <c r="AN56" s="191">
        <v>189246000</v>
      </c>
      <c r="AO56" s="191">
        <v>23122000</v>
      </c>
      <c r="AP56" s="255">
        <v>0</v>
      </c>
      <c r="AQ56" s="190">
        <v>150988000</v>
      </c>
      <c r="AR56" s="191">
        <v>95309000</v>
      </c>
      <c r="AS56" s="198">
        <v>588317000</v>
      </c>
      <c r="AT56" s="197">
        <v>669041000</v>
      </c>
      <c r="AU56" s="190">
        <v>358974000</v>
      </c>
      <c r="AV56" s="190">
        <v>310067000</v>
      </c>
      <c r="AW56" s="191"/>
      <c r="AX56" s="191">
        <v>174061300</v>
      </c>
      <c r="AY56" s="191">
        <v>211452000</v>
      </c>
      <c r="AZ56" s="255" t="s">
        <v>185</v>
      </c>
      <c r="BA56" s="190">
        <v>49532000</v>
      </c>
      <c r="BB56" s="190">
        <v>29719000</v>
      </c>
      <c r="BC56" s="190">
        <v>19813000</v>
      </c>
      <c r="BD56" s="190"/>
      <c r="BE56" s="255" t="s">
        <v>185</v>
      </c>
      <c r="BF56" s="231"/>
      <c r="BG56" s="240"/>
      <c r="BH56" s="255"/>
      <c r="BI56" s="188"/>
    </row>
    <row r="57" spans="1:61" ht="15" customHeight="1">
      <c r="A57" s="188">
        <v>2003</v>
      </c>
      <c r="B57" s="238" t="s">
        <v>222</v>
      </c>
      <c r="C57" s="255" t="s">
        <v>223</v>
      </c>
      <c r="D57" s="192" t="s">
        <v>229</v>
      </c>
      <c r="E57" s="240"/>
      <c r="F57" s="188">
        <v>885</v>
      </c>
      <c r="G57" s="255" t="s">
        <v>211</v>
      </c>
      <c r="H57" s="255" t="s">
        <v>187</v>
      </c>
      <c r="I57" s="190">
        <v>179.293</v>
      </c>
      <c r="J57" s="190">
        <v>164.789</v>
      </c>
      <c r="K57" s="190">
        <v>14.504</v>
      </c>
      <c r="L57" s="192">
        <v>1.018</v>
      </c>
      <c r="M57" s="192"/>
      <c r="N57" s="190">
        <v>547.3</v>
      </c>
      <c r="O57" s="192">
        <v>21.937</v>
      </c>
      <c r="P57" s="192"/>
      <c r="Q57" s="192">
        <v>21.289</v>
      </c>
      <c r="R57" s="192">
        <v>7.909</v>
      </c>
      <c r="S57" s="192">
        <v>7.909</v>
      </c>
      <c r="T57" s="192"/>
      <c r="U57" s="192">
        <v>11.831</v>
      </c>
      <c r="V57" s="192">
        <v>1.549</v>
      </c>
      <c r="W57" s="255" t="s">
        <v>225</v>
      </c>
      <c r="X57" s="190">
        <v>461</v>
      </c>
      <c r="Y57" s="190">
        <v>182.692</v>
      </c>
      <c r="Z57" s="192">
        <v>1.65</v>
      </c>
      <c r="AA57" s="193">
        <v>364.4</v>
      </c>
      <c r="AB57" s="193">
        <v>5740</v>
      </c>
      <c r="AC57" s="192">
        <v>16.217</v>
      </c>
      <c r="AD57" s="192">
        <v>9.538</v>
      </c>
      <c r="AE57" s="192">
        <v>6.679</v>
      </c>
      <c r="AF57" s="192">
        <v>16.217</v>
      </c>
      <c r="AG57" s="192">
        <v>16.217</v>
      </c>
      <c r="AH57" s="190">
        <v>655268000</v>
      </c>
      <c r="AI57" s="191">
        <v>299830000</v>
      </c>
      <c r="AJ57" s="190">
        <v>355438000</v>
      </c>
      <c r="AK57" s="190">
        <v>380306000</v>
      </c>
      <c r="AL57" s="190">
        <v>274962000</v>
      </c>
      <c r="AM57" s="190">
        <v>139445000</v>
      </c>
      <c r="AN57" s="190">
        <v>213191000</v>
      </c>
      <c r="AO57" s="190">
        <v>27670000</v>
      </c>
      <c r="AP57" s="255">
        <v>0</v>
      </c>
      <c r="AQ57" s="190">
        <v>160386000</v>
      </c>
      <c r="AR57" s="190">
        <v>114576000</v>
      </c>
      <c r="AS57" s="190">
        <v>655268000</v>
      </c>
      <c r="AT57" s="197">
        <v>898775000</v>
      </c>
      <c r="AU57" s="190">
        <v>471940000</v>
      </c>
      <c r="AV57" s="190">
        <v>426835000</v>
      </c>
      <c r="AW57" s="190"/>
      <c r="AX57" s="190">
        <v>209595000</v>
      </c>
      <c r="AY57" s="190">
        <v>226081000</v>
      </c>
      <c r="AZ57" s="255" t="s">
        <v>185</v>
      </c>
      <c r="BA57" s="190">
        <v>58454000</v>
      </c>
      <c r="BB57" s="190">
        <v>35072000</v>
      </c>
      <c r="BC57" s="190">
        <v>23382000</v>
      </c>
      <c r="BD57" s="190"/>
      <c r="BE57" s="255" t="s">
        <v>185</v>
      </c>
      <c r="BF57" s="232"/>
      <c r="BG57" s="240"/>
      <c r="BH57" s="256"/>
      <c r="BI57" s="188"/>
    </row>
    <row r="58" spans="1:61" ht="15" customHeight="1">
      <c r="A58" s="188">
        <v>2004</v>
      </c>
      <c r="B58" s="236" t="s">
        <v>230</v>
      </c>
      <c r="C58" s="255" t="s">
        <v>223</v>
      </c>
      <c r="D58" s="192" t="s">
        <v>231</v>
      </c>
      <c r="E58" s="240"/>
      <c r="F58" s="188">
        <v>861</v>
      </c>
      <c r="G58" s="255" t="s">
        <v>211</v>
      </c>
      <c r="H58" s="255" t="s">
        <v>187</v>
      </c>
      <c r="I58" s="190">
        <v>181.722</v>
      </c>
      <c r="J58" s="190">
        <v>166.665</v>
      </c>
      <c r="K58" s="190">
        <v>15.057</v>
      </c>
      <c r="L58" s="192">
        <v>1.202</v>
      </c>
      <c r="M58" s="192"/>
      <c r="N58" s="190">
        <v>547.4</v>
      </c>
      <c r="O58" s="192">
        <v>21.946</v>
      </c>
      <c r="P58" s="192"/>
      <c r="Q58" s="192">
        <v>21.157</v>
      </c>
      <c r="R58" s="192">
        <v>7.318</v>
      </c>
      <c r="S58" s="192">
        <v>7.318</v>
      </c>
      <c r="T58" s="192"/>
      <c r="U58" s="192">
        <v>12.296</v>
      </c>
      <c r="V58" s="192">
        <v>1.543</v>
      </c>
      <c r="W58" s="255" t="s">
        <v>225</v>
      </c>
      <c r="X58" s="190">
        <v>526</v>
      </c>
      <c r="Y58" s="190">
        <v>185.082</v>
      </c>
      <c r="Z58" s="192">
        <v>1.82</v>
      </c>
      <c r="AA58" s="193">
        <v>365</v>
      </c>
      <c r="AB58" s="193">
        <v>6380</v>
      </c>
      <c r="AC58" s="192">
        <v>15.146</v>
      </c>
      <c r="AD58" s="192">
        <v>8.847</v>
      </c>
      <c r="AE58" s="192">
        <v>6.299</v>
      </c>
      <c r="AF58" s="192">
        <v>15.146</v>
      </c>
      <c r="AG58" s="192">
        <v>15.146</v>
      </c>
      <c r="AH58" s="190">
        <v>784197000</v>
      </c>
      <c r="AI58" s="190">
        <v>346005000</v>
      </c>
      <c r="AJ58" s="190">
        <v>438192000</v>
      </c>
      <c r="AK58" s="190">
        <v>466791000</v>
      </c>
      <c r="AL58" s="190">
        <v>317406000</v>
      </c>
      <c r="AM58" s="190">
        <v>161218000</v>
      </c>
      <c r="AN58" s="190">
        <v>271499000</v>
      </c>
      <c r="AO58" s="190">
        <v>34074000</v>
      </c>
      <c r="AP58" s="255">
        <v>0</v>
      </c>
      <c r="AQ58" s="190">
        <v>184787000</v>
      </c>
      <c r="AR58" s="190">
        <v>132619000</v>
      </c>
      <c r="AS58" s="190">
        <v>784197000</v>
      </c>
      <c r="AT58" s="197">
        <v>931032000</v>
      </c>
      <c r="AU58" s="190">
        <v>524645000</v>
      </c>
      <c r="AV58" s="190">
        <v>406387000</v>
      </c>
      <c r="AW58" s="190"/>
      <c r="AX58" s="190">
        <v>225317600</v>
      </c>
      <c r="AY58" s="190">
        <v>226986000</v>
      </c>
      <c r="AZ58" s="255" t="s">
        <v>185</v>
      </c>
      <c r="BA58" s="190">
        <v>1645302000</v>
      </c>
      <c r="BB58" s="190">
        <v>852043000</v>
      </c>
      <c r="BC58" s="190">
        <v>793259000</v>
      </c>
      <c r="BD58" s="190"/>
      <c r="BE58" s="255" t="s">
        <v>185</v>
      </c>
      <c r="BF58" s="190">
        <v>84557200</v>
      </c>
      <c r="BG58" s="240"/>
      <c r="BH58" s="254">
        <v>120</v>
      </c>
      <c r="BI58" s="188"/>
    </row>
    <row r="59" spans="1:61" ht="15" customHeight="1">
      <c r="A59" s="188">
        <v>2005</v>
      </c>
      <c r="B59" s="237" t="s">
        <v>230</v>
      </c>
      <c r="C59" s="255" t="s">
        <v>223</v>
      </c>
      <c r="D59" s="192" t="s">
        <v>232</v>
      </c>
      <c r="E59" s="240"/>
      <c r="F59" s="188">
        <v>848</v>
      </c>
      <c r="G59" s="255" t="s">
        <v>211</v>
      </c>
      <c r="H59" s="255" t="s">
        <v>187</v>
      </c>
      <c r="I59" s="190">
        <v>184.168</v>
      </c>
      <c r="J59" s="190">
        <v>169.766</v>
      </c>
      <c r="K59" s="190">
        <v>14.402</v>
      </c>
      <c r="L59" s="192">
        <v>1.397</v>
      </c>
      <c r="M59" s="192"/>
      <c r="N59" s="190">
        <v>547.5</v>
      </c>
      <c r="O59" s="192">
        <v>22.055</v>
      </c>
      <c r="P59" s="192"/>
      <c r="Q59" s="192">
        <v>21.292</v>
      </c>
      <c r="R59" s="192">
        <v>7.37</v>
      </c>
      <c r="S59" s="192">
        <v>7.37</v>
      </c>
      <c r="T59" s="192"/>
      <c r="U59" s="192">
        <v>12.5</v>
      </c>
      <c r="V59" s="192">
        <v>1.421</v>
      </c>
      <c r="W59" s="255" t="s">
        <v>225</v>
      </c>
      <c r="X59" s="190">
        <v>634</v>
      </c>
      <c r="Y59" s="190">
        <v>187.503</v>
      </c>
      <c r="Z59" s="192">
        <v>1.99</v>
      </c>
      <c r="AA59" s="193">
        <v>365.4</v>
      </c>
      <c r="AB59" s="193">
        <v>5830</v>
      </c>
      <c r="AC59" s="192">
        <v>14.63</v>
      </c>
      <c r="AD59" s="192">
        <v>8.755</v>
      </c>
      <c r="AE59" s="192">
        <v>5.868</v>
      </c>
      <c r="AF59" s="192">
        <v>14.63</v>
      </c>
      <c r="AG59" s="192">
        <v>14.63</v>
      </c>
      <c r="AH59" s="190">
        <v>776230000</v>
      </c>
      <c r="AI59" s="190">
        <v>346016000</v>
      </c>
      <c r="AJ59" s="190">
        <v>430214000</v>
      </c>
      <c r="AK59" s="190">
        <v>469707000</v>
      </c>
      <c r="AL59" s="190">
        <v>306523000</v>
      </c>
      <c r="AM59" s="190">
        <v>162326000</v>
      </c>
      <c r="AN59" s="190">
        <v>275995000</v>
      </c>
      <c r="AO59" s="190">
        <v>31386000</v>
      </c>
      <c r="AP59" s="255">
        <v>0</v>
      </c>
      <c r="AQ59" s="190">
        <v>183690000</v>
      </c>
      <c r="AR59" s="190">
        <v>122833000</v>
      </c>
      <c r="AS59" s="190">
        <v>776230000</v>
      </c>
      <c r="AT59" s="197">
        <v>906884000</v>
      </c>
      <c r="AU59" s="190">
        <v>541033000</v>
      </c>
      <c r="AV59" s="190">
        <v>365851000</v>
      </c>
      <c r="AW59" s="190"/>
      <c r="AX59" s="190">
        <v>257255200</v>
      </c>
      <c r="AY59" s="190">
        <v>231702000</v>
      </c>
      <c r="AZ59" s="255" t="s">
        <v>185</v>
      </c>
      <c r="BA59" s="190">
        <v>1812658000</v>
      </c>
      <c r="BB59" s="190">
        <v>925456000</v>
      </c>
      <c r="BC59" s="190">
        <v>887202000</v>
      </c>
      <c r="BD59" s="190"/>
      <c r="BE59" s="255" t="s">
        <v>185</v>
      </c>
      <c r="BF59" s="190">
        <v>91461300</v>
      </c>
      <c r="BG59" s="240"/>
      <c r="BH59" s="255"/>
      <c r="BI59" s="188"/>
    </row>
    <row r="60" spans="1:61" ht="15" customHeight="1">
      <c r="A60" s="188">
        <v>2006</v>
      </c>
      <c r="B60" s="237" t="s">
        <v>230</v>
      </c>
      <c r="C60" s="255" t="s">
        <v>223</v>
      </c>
      <c r="D60" s="192" t="s">
        <v>233</v>
      </c>
      <c r="E60" s="240"/>
      <c r="F60" s="188">
        <v>860</v>
      </c>
      <c r="G60" s="255" t="s">
        <v>211</v>
      </c>
      <c r="H60" s="255" t="s">
        <v>187</v>
      </c>
      <c r="I60" s="190">
        <v>189.44</v>
      </c>
      <c r="J60" s="190">
        <v>176.08</v>
      </c>
      <c r="K60" s="190">
        <v>13.36</v>
      </c>
      <c r="L60" s="192">
        <v>1.33</v>
      </c>
      <c r="M60" s="192"/>
      <c r="N60" s="190">
        <v>547.5</v>
      </c>
      <c r="O60" s="192">
        <v>21.593</v>
      </c>
      <c r="P60" s="192">
        <v>1.378</v>
      </c>
      <c r="Q60" s="192">
        <v>20.916</v>
      </c>
      <c r="R60" s="192">
        <v>7.54</v>
      </c>
      <c r="S60" s="192">
        <v>4.74</v>
      </c>
      <c r="T60" s="192">
        <v>2.798</v>
      </c>
      <c r="U60" s="192">
        <v>11.934</v>
      </c>
      <c r="V60" s="192">
        <v>1.45</v>
      </c>
      <c r="W60" s="255" t="s">
        <v>225</v>
      </c>
      <c r="X60" s="190">
        <v>705</v>
      </c>
      <c r="Y60" s="190">
        <v>192.802</v>
      </c>
      <c r="Z60" s="192">
        <v>2.18</v>
      </c>
      <c r="AA60" s="193">
        <v>365.4</v>
      </c>
      <c r="AB60" s="193">
        <v>5504</v>
      </c>
      <c r="AC60" s="192">
        <v>14.831</v>
      </c>
      <c r="AD60" s="192">
        <v>8.862</v>
      </c>
      <c r="AE60" s="192">
        <v>5.969</v>
      </c>
      <c r="AF60" s="192">
        <v>14.831</v>
      </c>
      <c r="AG60" s="192">
        <v>14.831</v>
      </c>
      <c r="AH60" s="190">
        <v>773400000</v>
      </c>
      <c r="AI60" s="190">
        <v>352883000</v>
      </c>
      <c r="AJ60" s="190">
        <v>420517000</v>
      </c>
      <c r="AK60" s="190">
        <v>461429000</v>
      </c>
      <c r="AL60" s="190">
        <v>311971000</v>
      </c>
      <c r="AM60" s="190">
        <v>165902000</v>
      </c>
      <c r="AN60" s="190">
        <v>263520000</v>
      </c>
      <c r="AO60" s="190">
        <v>32007000</v>
      </c>
      <c r="AP60" s="255">
        <v>0</v>
      </c>
      <c r="AQ60" s="190">
        <v>186981000</v>
      </c>
      <c r="AR60" s="190">
        <v>124990000</v>
      </c>
      <c r="AS60" s="190">
        <v>773400000</v>
      </c>
      <c r="AT60" s="197">
        <v>954593000</v>
      </c>
      <c r="AU60" s="190">
        <v>538320000</v>
      </c>
      <c r="AV60" s="190">
        <v>416273000</v>
      </c>
      <c r="AW60" s="190"/>
      <c r="AX60" s="190">
        <v>294013900</v>
      </c>
      <c r="AY60" s="190">
        <v>272073000</v>
      </c>
      <c r="AZ60" s="255" t="s">
        <v>185</v>
      </c>
      <c r="BA60" s="190">
        <v>1975863000</v>
      </c>
      <c r="BB60" s="190">
        <v>1011145000</v>
      </c>
      <c r="BC60" s="190">
        <v>964718000</v>
      </c>
      <c r="BD60" s="190"/>
      <c r="BE60" s="255" t="s">
        <v>185</v>
      </c>
      <c r="BF60" s="190">
        <v>87906300</v>
      </c>
      <c r="BG60" s="240"/>
      <c r="BH60" s="255"/>
      <c r="BI60" s="188"/>
    </row>
    <row r="61" spans="1:61" ht="15" customHeight="1">
      <c r="A61" s="188">
        <v>2007</v>
      </c>
      <c r="B61" s="237" t="s">
        <v>230</v>
      </c>
      <c r="C61" s="255" t="s">
        <v>223</v>
      </c>
      <c r="D61" s="192" t="s">
        <v>234</v>
      </c>
      <c r="E61" s="241"/>
      <c r="F61" s="188">
        <v>868</v>
      </c>
      <c r="G61" s="255" t="s">
        <v>211</v>
      </c>
      <c r="H61" s="255" t="s">
        <v>187</v>
      </c>
      <c r="I61" s="190">
        <v>193.996</v>
      </c>
      <c r="J61" s="190">
        <v>181.168</v>
      </c>
      <c r="K61" s="190">
        <v>12.828</v>
      </c>
      <c r="L61" s="192">
        <v>2.206</v>
      </c>
      <c r="M61" s="192"/>
      <c r="N61" s="190">
        <v>547.5</v>
      </c>
      <c r="O61" s="192">
        <v>21.85</v>
      </c>
      <c r="P61" s="192">
        <v>1.923</v>
      </c>
      <c r="Q61" s="192">
        <v>21.119</v>
      </c>
      <c r="R61" s="192">
        <v>7.39</v>
      </c>
      <c r="S61" s="192">
        <v>4.49</v>
      </c>
      <c r="T61" s="192">
        <v>2.899</v>
      </c>
      <c r="U61" s="192">
        <v>12.374</v>
      </c>
      <c r="V61" s="192">
        <v>1.364</v>
      </c>
      <c r="W61" s="255" t="s">
        <v>225</v>
      </c>
      <c r="X61" s="190">
        <v>767</v>
      </c>
      <c r="Y61" s="190">
        <v>197.38</v>
      </c>
      <c r="Z61" s="192">
        <v>2.36</v>
      </c>
      <c r="AA61" s="193">
        <v>365.4</v>
      </c>
      <c r="AB61" s="193">
        <v>7310</v>
      </c>
      <c r="AC61" s="192">
        <v>14.704</v>
      </c>
      <c r="AD61" s="192">
        <v>8.84</v>
      </c>
      <c r="AE61" s="192">
        <v>5.864</v>
      </c>
      <c r="AF61" s="192">
        <v>14.704</v>
      </c>
      <c r="AG61" s="192">
        <v>14.704</v>
      </c>
      <c r="AH61" s="190">
        <v>834449000</v>
      </c>
      <c r="AI61" s="190">
        <v>349253000</v>
      </c>
      <c r="AJ61" s="190">
        <v>485196000</v>
      </c>
      <c r="AK61" s="190">
        <v>503244000</v>
      </c>
      <c r="AL61" s="190">
        <v>331205000</v>
      </c>
      <c r="AM61" s="190">
        <v>162969000</v>
      </c>
      <c r="AN61" s="190">
        <v>306414000</v>
      </c>
      <c r="AO61" s="190">
        <v>33861000</v>
      </c>
      <c r="AP61" s="255">
        <v>0</v>
      </c>
      <c r="AQ61" s="190">
        <v>186285000</v>
      </c>
      <c r="AR61" s="190">
        <v>144920000</v>
      </c>
      <c r="AS61" s="190">
        <v>834449000</v>
      </c>
      <c r="AT61" s="197">
        <v>856594000</v>
      </c>
      <c r="AU61" s="190">
        <v>470687000</v>
      </c>
      <c r="AV61" s="190">
        <v>385907000</v>
      </c>
      <c r="AW61" s="190"/>
      <c r="AX61" s="190">
        <v>381624800</v>
      </c>
      <c r="AY61" s="190">
        <v>307422000</v>
      </c>
      <c r="AZ61" s="255" t="s">
        <v>185</v>
      </c>
      <c r="BA61" s="190">
        <v>2686582000</v>
      </c>
      <c r="BB61" s="190">
        <v>1457850000</v>
      </c>
      <c r="BC61" s="190">
        <v>1228732000</v>
      </c>
      <c r="BD61" s="190"/>
      <c r="BE61" s="255" t="s">
        <v>185</v>
      </c>
      <c r="BF61" s="190">
        <v>80720800</v>
      </c>
      <c r="BG61" s="241"/>
      <c r="BH61" s="256"/>
      <c r="BI61" s="188"/>
    </row>
    <row r="62" spans="1:61" ht="15" customHeight="1">
      <c r="A62" s="188">
        <v>2008</v>
      </c>
      <c r="B62" s="237" t="s">
        <v>230</v>
      </c>
      <c r="C62" s="255" t="s">
        <v>223</v>
      </c>
      <c r="D62" s="192" t="s">
        <v>234</v>
      </c>
      <c r="E62" s="191">
        <v>10</v>
      </c>
      <c r="F62" s="188">
        <v>930</v>
      </c>
      <c r="G62" s="255" t="s">
        <v>211</v>
      </c>
      <c r="H62" s="255" t="s">
        <v>187</v>
      </c>
      <c r="I62" s="190">
        <v>207.63</v>
      </c>
      <c r="J62" s="190">
        <v>193.624</v>
      </c>
      <c r="K62" s="190">
        <v>14.006</v>
      </c>
      <c r="L62" s="192">
        <v>2.74</v>
      </c>
      <c r="M62" s="192"/>
      <c r="N62" s="190">
        <v>592.8</v>
      </c>
      <c r="O62" s="192">
        <v>30.98</v>
      </c>
      <c r="P62" s="192">
        <v>2.77</v>
      </c>
      <c r="Q62" s="192">
        <v>22.54</v>
      </c>
      <c r="R62" s="192">
        <v>9.16</v>
      </c>
      <c r="S62" s="192">
        <v>8.9</v>
      </c>
      <c r="T62" s="192">
        <v>0.25</v>
      </c>
      <c r="U62" s="192">
        <v>12.02</v>
      </c>
      <c r="V62" s="192">
        <v>1.36</v>
      </c>
      <c r="W62" s="255" t="s">
        <v>225</v>
      </c>
      <c r="X62" s="190">
        <v>950</v>
      </c>
      <c r="Y62" s="190">
        <v>4.043</v>
      </c>
      <c r="Z62" s="192">
        <v>2.46</v>
      </c>
      <c r="AA62" s="191">
        <v>376</v>
      </c>
      <c r="AB62" s="191">
        <v>6824</v>
      </c>
      <c r="AC62" s="192">
        <v>16.32</v>
      </c>
      <c r="AD62" s="192">
        <v>10.6</v>
      </c>
      <c r="AE62" s="192">
        <v>4.09</v>
      </c>
      <c r="AF62" s="192">
        <v>16.32</v>
      </c>
      <c r="AG62" s="192">
        <v>16.32</v>
      </c>
      <c r="AH62" s="190">
        <v>919665000</v>
      </c>
      <c r="AI62" s="190">
        <v>425573944</v>
      </c>
      <c r="AJ62" s="190">
        <v>494090867</v>
      </c>
      <c r="AK62" s="190">
        <v>547553506</v>
      </c>
      <c r="AL62" s="190">
        <v>372111306</v>
      </c>
      <c r="AM62" s="190">
        <v>202220707</v>
      </c>
      <c r="AN62" s="190">
        <v>310147230</v>
      </c>
      <c r="AO62" s="190">
        <v>35185569</v>
      </c>
      <c r="AP62" s="255">
        <v>0</v>
      </c>
      <c r="AQ62" s="190">
        <v>223353237</v>
      </c>
      <c r="AR62" s="190">
        <v>148758068</v>
      </c>
      <c r="AS62" s="190">
        <v>919664812</v>
      </c>
      <c r="AT62" s="197">
        <v>1338702000</v>
      </c>
      <c r="AU62" s="190">
        <v>740553000</v>
      </c>
      <c r="AV62" s="190">
        <v>598149000</v>
      </c>
      <c r="AW62" s="190"/>
      <c r="AX62" s="190">
        <v>409507000</v>
      </c>
      <c r="AY62" s="190">
        <v>347464000</v>
      </c>
      <c r="AZ62" s="255" t="s">
        <v>185</v>
      </c>
      <c r="BA62" s="190">
        <v>4146218135</v>
      </c>
      <c r="BB62" s="190">
        <v>2754029085</v>
      </c>
      <c r="BC62" s="190">
        <v>1392189050</v>
      </c>
      <c r="BD62" s="190"/>
      <c r="BE62" s="255" t="s">
        <v>185</v>
      </c>
      <c r="BF62" s="190">
        <v>75244497</v>
      </c>
      <c r="BG62" s="239" t="s">
        <v>184</v>
      </c>
      <c r="BH62" s="254">
        <v>300</v>
      </c>
      <c r="BI62" s="188"/>
    </row>
    <row r="63" spans="1:61" ht="15" customHeight="1">
      <c r="A63" s="188">
        <v>2009</v>
      </c>
      <c r="B63" s="237" t="s">
        <v>230</v>
      </c>
      <c r="C63" s="255" t="s">
        <v>223</v>
      </c>
      <c r="D63" s="192" t="s">
        <v>234</v>
      </c>
      <c r="E63" s="191">
        <v>11</v>
      </c>
      <c r="F63" s="188">
        <f>1002</f>
        <v>1002</v>
      </c>
      <c r="G63" s="255" t="s">
        <v>211</v>
      </c>
      <c r="H63" s="255" t="s">
        <v>187</v>
      </c>
      <c r="I63" s="190">
        <v>211.16</v>
      </c>
      <c r="J63" s="190">
        <v>199.69</v>
      </c>
      <c r="K63" s="190">
        <v>11.47</v>
      </c>
      <c r="L63" s="199">
        <v>3.33</v>
      </c>
      <c r="M63" s="192"/>
      <c r="N63" s="200">
        <v>634.6</v>
      </c>
      <c r="O63" s="192">
        <v>31.69</v>
      </c>
      <c r="P63" s="192">
        <v>4.87</v>
      </c>
      <c r="Q63" s="192">
        <v>22.78</v>
      </c>
      <c r="R63" s="192">
        <v>10.34</v>
      </c>
      <c r="S63" s="199">
        <v>9.837</v>
      </c>
      <c r="T63" s="192">
        <v>0.21</v>
      </c>
      <c r="U63" s="192">
        <v>10.93</v>
      </c>
      <c r="V63" s="192">
        <v>1.51</v>
      </c>
      <c r="W63" s="255" t="s">
        <v>225</v>
      </c>
      <c r="X63" s="200">
        <v>1084</v>
      </c>
      <c r="Y63" s="200">
        <v>156.35</v>
      </c>
      <c r="Z63" s="199">
        <v>2.51</v>
      </c>
      <c r="AA63" s="200">
        <v>379.9</v>
      </c>
      <c r="AB63" s="200">
        <v>6946</v>
      </c>
      <c r="AC63" s="192">
        <v>17.16</v>
      </c>
      <c r="AD63" s="192">
        <v>11.39</v>
      </c>
      <c r="AE63" s="192">
        <v>3.99</v>
      </c>
      <c r="AF63" s="192">
        <v>24.235</v>
      </c>
      <c r="AG63" s="192">
        <v>21.8115</v>
      </c>
      <c r="AH63" s="200">
        <f>546982201+390256941</f>
        <v>937239142</v>
      </c>
      <c r="AI63" s="200">
        <f>228337045+239788687.5</f>
        <v>468125732.5</v>
      </c>
      <c r="AJ63" s="126">
        <f>38620675+280024481+46564163+103904090</f>
        <v>469113409</v>
      </c>
      <c r="AK63" s="200">
        <v>546982201</v>
      </c>
      <c r="AL63" s="126">
        <v>390256941</v>
      </c>
      <c r="AM63" s="200">
        <v>228337045</v>
      </c>
      <c r="AN63" s="200">
        <v>280024481</v>
      </c>
      <c r="AO63" s="200">
        <v>38620675</v>
      </c>
      <c r="AP63" s="255">
        <v>0</v>
      </c>
      <c r="AQ63" s="126">
        <v>239788687</v>
      </c>
      <c r="AR63" s="126">
        <f>46564163+103904091</f>
        <v>150468254</v>
      </c>
      <c r="AS63" s="200">
        <v>1071413901</v>
      </c>
      <c r="AT63" s="200">
        <v>1502986000</v>
      </c>
      <c r="AU63" s="200">
        <v>865083000</v>
      </c>
      <c r="AV63" s="200">
        <v>637903000</v>
      </c>
      <c r="AW63" s="200"/>
      <c r="AX63" s="200">
        <f>320532000+60246000+5806000+28689000+2947000</f>
        <v>418220000</v>
      </c>
      <c r="AY63" s="200">
        <v>326021000</v>
      </c>
      <c r="AZ63" s="255" t="s">
        <v>185</v>
      </c>
      <c r="BA63" s="126">
        <v>8354202000</v>
      </c>
      <c r="BB63" s="200">
        <f>BB62/BA62*BA63</f>
        <v>5549084621.416131</v>
      </c>
      <c r="BC63" s="200">
        <f>BC62/BA62*BA63</f>
        <v>2805117378.5838695</v>
      </c>
      <c r="BD63" s="200"/>
      <c r="BE63" s="255" t="s">
        <v>185</v>
      </c>
      <c r="BF63" s="200">
        <v>96455059</v>
      </c>
      <c r="BG63" s="240"/>
      <c r="BH63" s="255"/>
      <c r="BI63" s="188">
        <v>49.6</v>
      </c>
    </row>
    <row r="64" spans="1:61" ht="15" customHeight="1">
      <c r="A64" s="188">
        <v>2010</v>
      </c>
      <c r="B64" s="238" t="s">
        <v>230</v>
      </c>
      <c r="C64" s="256" t="s">
        <v>223</v>
      </c>
      <c r="D64" s="190">
        <v>478</v>
      </c>
      <c r="E64" s="191">
        <v>14</v>
      </c>
      <c r="F64" s="188">
        <v>1029</v>
      </c>
      <c r="G64" s="256" t="s">
        <v>211</v>
      </c>
      <c r="H64" s="256" t="s">
        <v>187</v>
      </c>
      <c r="I64" s="190">
        <v>216.46</v>
      </c>
      <c r="J64" s="190">
        <v>203.99</v>
      </c>
      <c r="K64" s="190">
        <v>12.47</v>
      </c>
      <c r="L64" s="199">
        <v>4.06</v>
      </c>
      <c r="M64" s="192"/>
      <c r="N64" s="200">
        <v>712.3</v>
      </c>
      <c r="O64" s="192">
        <v>28.66</v>
      </c>
      <c r="P64" s="192">
        <v>4.91</v>
      </c>
      <c r="Q64" s="192">
        <v>21.64</v>
      </c>
      <c r="R64" s="192">
        <v>9.31</v>
      </c>
      <c r="S64" s="199">
        <v>8.831</v>
      </c>
      <c r="T64" s="192">
        <v>0.23</v>
      </c>
      <c r="U64" s="192">
        <v>10.78</v>
      </c>
      <c r="V64" s="192">
        <v>1.55</v>
      </c>
      <c r="W64" s="256" t="s">
        <v>225</v>
      </c>
      <c r="X64" s="200">
        <v>1068</v>
      </c>
      <c r="Y64" s="200">
        <v>159.22</v>
      </c>
      <c r="Z64" s="199">
        <v>2.58</v>
      </c>
      <c r="AA64" s="200">
        <v>381.4</v>
      </c>
      <c r="AB64" s="200">
        <v>8188</v>
      </c>
      <c r="AC64" s="192">
        <v>16.19</v>
      </c>
      <c r="AD64" s="192">
        <v>10.29</v>
      </c>
      <c r="AE64" s="192">
        <v>4.11</v>
      </c>
      <c r="AF64" s="192">
        <v>26.28</v>
      </c>
      <c r="AG64" s="192">
        <v>23.652</v>
      </c>
      <c r="AH64" s="200">
        <f>528958466+379521004</f>
        <v>908479470</v>
      </c>
      <c r="AI64" s="200">
        <f>211154194+225072964+1</f>
        <v>436227159</v>
      </c>
      <c r="AJ64" s="126">
        <f>39895848+277908423+47439610+107008429+1</f>
        <v>472252311</v>
      </c>
      <c r="AK64" s="200">
        <v>528958466</v>
      </c>
      <c r="AL64" s="126">
        <v>379521004</v>
      </c>
      <c r="AM64" s="200">
        <v>211154194</v>
      </c>
      <c r="AN64" s="200">
        <v>277908424</v>
      </c>
      <c r="AO64" s="200">
        <v>39895848</v>
      </c>
      <c r="AP64" s="256">
        <v>0</v>
      </c>
      <c r="AQ64" s="126">
        <v>225072964</v>
      </c>
      <c r="AR64" s="126">
        <f>47439611+107008429</f>
        <v>154448040</v>
      </c>
      <c r="AS64" s="200">
        <v>1061527223</v>
      </c>
      <c r="AT64" s="200">
        <v>1797558000</v>
      </c>
      <c r="AU64" s="200">
        <v>1137921000</v>
      </c>
      <c r="AV64" s="200">
        <v>659637000</v>
      </c>
      <c r="AW64" s="200"/>
      <c r="AX64" s="200">
        <f>342998000+41856000+4623000+23003000+2567000</f>
        <v>415047000</v>
      </c>
      <c r="AY64" s="200">
        <v>324253000</v>
      </c>
      <c r="AZ64" s="256" t="s">
        <v>185</v>
      </c>
      <c r="BA64" s="126">
        <v>8040872000</v>
      </c>
      <c r="BB64" s="200">
        <f>BB63/BA63*BA64</f>
        <v>5340962447.158396</v>
      </c>
      <c r="BC64" s="200">
        <f>BC63/BA63*BA64</f>
        <v>2699909552.841604</v>
      </c>
      <c r="BD64" s="200"/>
      <c r="BE64" s="256" t="s">
        <v>185</v>
      </c>
      <c r="BF64" s="200">
        <v>85241095</v>
      </c>
      <c r="BG64" s="241"/>
      <c r="BH64" s="256"/>
      <c r="BI64" s="188">
        <v>49.6</v>
      </c>
    </row>
    <row r="65" spans="1:60" s="74" customFormat="1" ht="6" customHeight="1" thickBot="1">
      <c r="A65" s="76"/>
      <c r="B65" s="81"/>
      <c r="C65" s="81"/>
      <c r="D65" s="75"/>
      <c r="E65" s="78"/>
      <c r="H65" s="8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4"/>
      <c r="U65" s="83"/>
      <c r="V65" s="83"/>
      <c r="W65" s="83"/>
      <c r="X65" s="78"/>
      <c r="Y65" s="83"/>
      <c r="Z65" s="83"/>
      <c r="AA65" s="83"/>
      <c r="AB65" s="78"/>
      <c r="AC65" s="83"/>
      <c r="AD65" s="83"/>
      <c r="AE65" s="83"/>
      <c r="AF65" s="83"/>
      <c r="AG65" s="83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85"/>
    </row>
    <row r="66" spans="1:61" ht="15" customHeight="1">
      <c r="A66" s="109">
        <v>2000</v>
      </c>
      <c r="B66" s="276" t="s">
        <v>310</v>
      </c>
      <c r="C66" s="276" t="s">
        <v>235</v>
      </c>
      <c r="D66" s="115">
        <v>310.2</v>
      </c>
      <c r="E66" s="276">
        <v>1</v>
      </c>
      <c r="F66" s="109">
        <v>379</v>
      </c>
      <c r="G66" s="269" t="s">
        <v>186</v>
      </c>
      <c r="H66" s="269" t="s">
        <v>187</v>
      </c>
      <c r="I66" s="115">
        <v>167.2</v>
      </c>
      <c r="J66" s="115">
        <f>I66-K66</f>
        <v>163.856</v>
      </c>
      <c r="K66" s="110">
        <f>I66*2%</f>
        <v>3.344</v>
      </c>
      <c r="L66" s="110">
        <v>2.1</v>
      </c>
      <c r="M66" s="277">
        <v>1.05</v>
      </c>
      <c r="N66" s="115">
        <v>406.2</v>
      </c>
      <c r="O66" s="112">
        <v>33.6</v>
      </c>
      <c r="P66" s="112">
        <v>2.5</v>
      </c>
      <c r="Q66" s="112">
        <v>25</v>
      </c>
      <c r="R66" s="112">
        <v>14.2</v>
      </c>
      <c r="S66" s="112">
        <f>R66-T66</f>
        <v>13.899999999999999</v>
      </c>
      <c r="T66" s="112">
        <v>0.3</v>
      </c>
      <c r="U66" s="112">
        <v>10.8</v>
      </c>
      <c r="V66" s="110">
        <v>1</v>
      </c>
      <c r="W66" s="269" t="s">
        <v>185</v>
      </c>
      <c r="X66" s="115">
        <v>932</v>
      </c>
      <c r="Y66" s="115">
        <f>I66*60%</f>
        <v>100.32</v>
      </c>
      <c r="Z66" s="112">
        <f>L66*50%</f>
        <v>1.05</v>
      </c>
      <c r="AA66" s="117">
        <v>259.81</v>
      </c>
      <c r="AB66" s="117">
        <v>3715</v>
      </c>
      <c r="AC66" s="112">
        <v>19.9</v>
      </c>
      <c r="AD66" s="112">
        <v>13.6</v>
      </c>
      <c r="AE66" s="112">
        <f>AC66-AD66</f>
        <v>6.299999999999999</v>
      </c>
      <c r="AF66" s="112">
        <v>19.9</v>
      </c>
      <c r="AG66" s="269" t="s">
        <v>185</v>
      </c>
      <c r="AH66" s="115">
        <v>184761000</v>
      </c>
      <c r="AI66" s="115">
        <v>109194400</v>
      </c>
      <c r="AJ66" s="115">
        <f>AH66-AI66</f>
        <v>75566600</v>
      </c>
      <c r="AK66" s="115">
        <v>149633600</v>
      </c>
      <c r="AL66" s="115">
        <f>AH66-AK66</f>
        <v>35127400</v>
      </c>
      <c r="AM66" s="115">
        <v>85170000</v>
      </c>
      <c r="AN66" s="115">
        <f>(AK66-AM66)-((AK66-AM66)*10%)</f>
        <v>58017240</v>
      </c>
      <c r="AO66" s="115">
        <f>AK66-AM66-AN66</f>
        <v>6446360</v>
      </c>
      <c r="AP66" s="269" t="s">
        <v>185</v>
      </c>
      <c r="AQ66" s="115">
        <f>AI66-AM66</f>
        <v>24024400</v>
      </c>
      <c r="AR66" s="115">
        <f>AJ66-AN66-AO66</f>
        <v>11103000</v>
      </c>
      <c r="AS66" s="115">
        <v>47237200</v>
      </c>
      <c r="AT66" s="116">
        <v>213802400</v>
      </c>
      <c r="AU66" s="115">
        <f>AT66*79%</f>
        <v>168903896</v>
      </c>
      <c r="AV66" s="115">
        <f>AT66-AU66</f>
        <v>44898504</v>
      </c>
      <c r="AW66" s="200"/>
      <c r="AX66" s="115">
        <v>69611000</v>
      </c>
      <c r="AY66" s="115">
        <v>49628000</v>
      </c>
      <c r="AZ66" s="269" t="s">
        <v>185</v>
      </c>
      <c r="BA66" s="115">
        <v>149790000</v>
      </c>
      <c r="BB66" s="115">
        <f>(BA66-BD66)*79%</f>
        <v>105317349</v>
      </c>
      <c r="BC66" s="115">
        <f>BA66-BB66-BD66</f>
        <v>27995751</v>
      </c>
      <c r="BD66" s="115">
        <f>BA66*11%</f>
        <v>16476900</v>
      </c>
      <c r="BE66" s="115" t="s">
        <v>185</v>
      </c>
      <c r="BF66" s="115">
        <v>66855000</v>
      </c>
      <c r="BG66" s="269" t="s">
        <v>185</v>
      </c>
      <c r="BH66" s="269">
        <v>280</v>
      </c>
      <c r="BI66" s="109"/>
    </row>
    <row r="67" spans="1:61" ht="15" customHeight="1">
      <c r="A67" s="109">
        <v>2001</v>
      </c>
      <c r="B67" s="274" t="s">
        <v>310</v>
      </c>
      <c r="C67" s="274" t="s">
        <v>235</v>
      </c>
      <c r="D67" s="115">
        <v>315.7</v>
      </c>
      <c r="E67" s="274">
        <v>1</v>
      </c>
      <c r="F67" s="109">
        <v>399</v>
      </c>
      <c r="G67" s="274" t="s">
        <v>186</v>
      </c>
      <c r="H67" s="274" t="s">
        <v>187</v>
      </c>
      <c r="I67" s="115">
        <v>167.5</v>
      </c>
      <c r="J67" s="115">
        <f aca="true" t="shared" si="2" ref="J67:J73">I67-K67</f>
        <v>164.15</v>
      </c>
      <c r="K67" s="277">
        <f>I67*2%</f>
        <v>3.35</v>
      </c>
      <c r="L67" s="110">
        <v>2.2</v>
      </c>
      <c r="M67" s="278"/>
      <c r="N67" s="115">
        <v>406.2</v>
      </c>
      <c r="O67" s="112">
        <v>31.2</v>
      </c>
      <c r="P67" s="112">
        <v>3</v>
      </c>
      <c r="Q67" s="112">
        <v>24.1</v>
      </c>
      <c r="R67" s="112">
        <v>13.8</v>
      </c>
      <c r="S67" s="112">
        <f aca="true" t="shared" si="3" ref="S67:S73">R67-T67</f>
        <v>13.49</v>
      </c>
      <c r="T67" s="112">
        <v>0.31</v>
      </c>
      <c r="U67" s="112">
        <v>10.2</v>
      </c>
      <c r="V67" s="110">
        <v>1</v>
      </c>
      <c r="W67" s="274" t="s">
        <v>185</v>
      </c>
      <c r="X67" s="115">
        <v>979</v>
      </c>
      <c r="Y67" s="115">
        <f aca="true" t="shared" si="4" ref="Y67:Y73">I67*60%</f>
        <v>100.5</v>
      </c>
      <c r="Z67" s="112">
        <f>L67*50%</f>
        <v>1.1</v>
      </c>
      <c r="AA67" s="117">
        <v>261</v>
      </c>
      <c r="AB67" s="117">
        <v>3802</v>
      </c>
      <c r="AC67" s="112">
        <v>17.2</v>
      </c>
      <c r="AD67" s="112">
        <v>11.5</v>
      </c>
      <c r="AE67" s="112">
        <f aca="true" t="shared" si="5" ref="AE67:AE75">AC67-AD67</f>
        <v>5.699999999999999</v>
      </c>
      <c r="AF67" s="112">
        <v>17.2</v>
      </c>
      <c r="AG67" s="274" t="s">
        <v>185</v>
      </c>
      <c r="AH67" s="115">
        <v>191583800</v>
      </c>
      <c r="AI67" s="115">
        <v>113625100</v>
      </c>
      <c r="AJ67" s="115">
        <f aca="true" t="shared" si="6" ref="AJ67:AJ76">AH67-AI67</f>
        <v>77958700</v>
      </c>
      <c r="AK67" s="115">
        <v>154072600</v>
      </c>
      <c r="AL67" s="115">
        <f aca="true" t="shared" si="7" ref="AL67:AL76">AH67-AK67</f>
        <v>37511200</v>
      </c>
      <c r="AM67" s="115">
        <v>88742000</v>
      </c>
      <c r="AN67" s="115">
        <f aca="true" t="shared" si="8" ref="AN67:AN73">(AK67-AM67)-((AK67-AM67)*10%)</f>
        <v>58797540</v>
      </c>
      <c r="AO67" s="115">
        <f aca="true" t="shared" si="9" ref="AO67:AO73">AK67-AM67-AN67</f>
        <v>6533060</v>
      </c>
      <c r="AP67" s="274" t="s">
        <v>185</v>
      </c>
      <c r="AQ67" s="115">
        <f aca="true" t="shared" si="10" ref="AQ67:AQ73">AI67-AM67</f>
        <v>24883100</v>
      </c>
      <c r="AR67" s="115">
        <f aca="true" t="shared" si="11" ref="AR67:AR73">AJ67-AN67-AO67</f>
        <v>12628100</v>
      </c>
      <c r="AS67" s="115">
        <v>167189000</v>
      </c>
      <c r="AT67" s="116">
        <v>273096800</v>
      </c>
      <c r="AU67" s="115">
        <f aca="true" t="shared" si="12" ref="AU67:AU73">AT67*79%</f>
        <v>215746472</v>
      </c>
      <c r="AV67" s="115">
        <f aca="true" t="shared" si="13" ref="AV67:AV73">AT67-AU67</f>
        <v>57350328</v>
      </c>
      <c r="AW67" s="200"/>
      <c r="AX67" s="115">
        <v>73274000</v>
      </c>
      <c r="AY67" s="115">
        <v>52240000</v>
      </c>
      <c r="AZ67" s="274" t="s">
        <v>185</v>
      </c>
      <c r="BA67" s="115">
        <v>125174000</v>
      </c>
      <c r="BB67" s="115">
        <f aca="true" t="shared" si="14" ref="BB67:BB73">(BA67-BD67)*79%</f>
        <v>88009839.4</v>
      </c>
      <c r="BC67" s="115">
        <f aca="true" t="shared" si="15" ref="BC67:BC73">BA67-BB67-BD67</f>
        <v>23395020.599999994</v>
      </c>
      <c r="BD67" s="115">
        <f aca="true" t="shared" si="16" ref="BD67:BD73">BA67*11%</f>
        <v>13769140</v>
      </c>
      <c r="BE67" s="115" t="s">
        <v>185</v>
      </c>
      <c r="BF67" s="115">
        <v>119204000</v>
      </c>
      <c r="BG67" s="274" t="s">
        <v>185</v>
      </c>
      <c r="BH67" s="274">
        <v>280</v>
      </c>
      <c r="BI67" s="109"/>
    </row>
    <row r="68" spans="1:61" ht="15" customHeight="1">
      <c r="A68" s="109">
        <v>2002</v>
      </c>
      <c r="B68" s="274" t="s">
        <v>310</v>
      </c>
      <c r="C68" s="274" t="s">
        <v>235</v>
      </c>
      <c r="D68" s="115">
        <v>325</v>
      </c>
      <c r="E68" s="274">
        <v>1</v>
      </c>
      <c r="F68" s="109">
        <v>456</v>
      </c>
      <c r="G68" s="274" t="s">
        <v>186</v>
      </c>
      <c r="H68" s="274" t="s">
        <v>187</v>
      </c>
      <c r="I68" s="115">
        <v>167.8</v>
      </c>
      <c r="J68" s="115">
        <f t="shared" si="2"/>
        <v>167.8</v>
      </c>
      <c r="K68" s="272"/>
      <c r="L68" s="277">
        <v>2.3</v>
      </c>
      <c r="M68" s="277">
        <v>1.15</v>
      </c>
      <c r="N68" s="115">
        <v>406.2</v>
      </c>
      <c r="O68" s="112">
        <v>31.3</v>
      </c>
      <c r="P68" s="112">
        <v>4</v>
      </c>
      <c r="Q68" s="112">
        <v>24.1</v>
      </c>
      <c r="R68" s="112">
        <v>14.2</v>
      </c>
      <c r="S68" s="112">
        <f t="shared" si="3"/>
        <v>13.84</v>
      </c>
      <c r="T68" s="112">
        <v>0.36</v>
      </c>
      <c r="U68" s="112">
        <v>9.9</v>
      </c>
      <c r="V68" s="110">
        <v>1</v>
      </c>
      <c r="W68" s="274" t="s">
        <v>185</v>
      </c>
      <c r="X68" s="115">
        <v>1002</v>
      </c>
      <c r="Y68" s="115">
        <f t="shared" si="4"/>
        <v>100.68</v>
      </c>
      <c r="Z68" s="112">
        <f>L68*50%</f>
        <v>1.15</v>
      </c>
      <c r="AA68" s="117">
        <v>262.7</v>
      </c>
      <c r="AB68" s="117">
        <v>3753</v>
      </c>
      <c r="AC68" s="112">
        <v>16.3</v>
      </c>
      <c r="AD68" s="112">
        <v>10.7</v>
      </c>
      <c r="AE68" s="112">
        <f t="shared" si="5"/>
        <v>5.600000000000001</v>
      </c>
      <c r="AF68" s="112">
        <v>16.3</v>
      </c>
      <c r="AG68" s="274" t="s">
        <v>185</v>
      </c>
      <c r="AH68" s="115">
        <v>248651000</v>
      </c>
      <c r="AI68" s="115">
        <v>150486000</v>
      </c>
      <c r="AJ68" s="115">
        <f t="shared" si="6"/>
        <v>98165000</v>
      </c>
      <c r="AK68" s="115">
        <v>187219000</v>
      </c>
      <c r="AL68" s="115">
        <f t="shared" si="7"/>
        <v>61432000</v>
      </c>
      <c r="AM68" s="115">
        <v>110194300</v>
      </c>
      <c r="AN68" s="115">
        <f t="shared" si="8"/>
        <v>69322230</v>
      </c>
      <c r="AO68" s="115">
        <f t="shared" si="9"/>
        <v>7702470</v>
      </c>
      <c r="AP68" s="274" t="s">
        <v>185</v>
      </c>
      <c r="AQ68" s="115">
        <f t="shared" si="10"/>
        <v>40291700</v>
      </c>
      <c r="AR68" s="115">
        <f t="shared" si="11"/>
        <v>21140300</v>
      </c>
      <c r="AS68" s="115">
        <v>230798000</v>
      </c>
      <c r="AT68" s="116">
        <v>268705000</v>
      </c>
      <c r="AU68" s="115">
        <f t="shared" si="12"/>
        <v>212276950</v>
      </c>
      <c r="AV68" s="115">
        <f t="shared" si="13"/>
        <v>56428050</v>
      </c>
      <c r="AW68" s="200"/>
      <c r="AX68" s="115">
        <v>74770000</v>
      </c>
      <c r="AY68" s="115">
        <v>53306000</v>
      </c>
      <c r="AZ68" s="274" t="s">
        <v>185</v>
      </c>
      <c r="BA68" s="115">
        <v>171320000</v>
      </c>
      <c r="BB68" s="115">
        <f t="shared" si="14"/>
        <v>120455092</v>
      </c>
      <c r="BC68" s="115">
        <f t="shared" si="15"/>
        <v>32019708</v>
      </c>
      <c r="BD68" s="115">
        <f t="shared" si="16"/>
        <v>18845200</v>
      </c>
      <c r="BE68" s="115" t="s">
        <v>185</v>
      </c>
      <c r="BF68" s="115">
        <v>157696000</v>
      </c>
      <c r="BG68" s="274" t="s">
        <v>185</v>
      </c>
      <c r="BH68" s="274">
        <v>280</v>
      </c>
      <c r="BI68" s="109"/>
    </row>
    <row r="69" spans="1:61" ht="15" customHeight="1">
      <c r="A69" s="109">
        <v>2003</v>
      </c>
      <c r="B69" s="274" t="s">
        <v>310</v>
      </c>
      <c r="C69" s="274" t="s">
        <v>235</v>
      </c>
      <c r="D69" s="115">
        <v>329</v>
      </c>
      <c r="E69" s="274">
        <v>1</v>
      </c>
      <c r="F69" s="109">
        <v>475</v>
      </c>
      <c r="G69" s="274" t="s">
        <v>186</v>
      </c>
      <c r="H69" s="274" t="s">
        <v>187</v>
      </c>
      <c r="I69" s="115">
        <v>167.9</v>
      </c>
      <c r="J69" s="115">
        <f t="shared" si="2"/>
        <v>167.9</v>
      </c>
      <c r="K69" s="272"/>
      <c r="L69" s="278"/>
      <c r="M69" s="279"/>
      <c r="N69" s="115">
        <v>406.2</v>
      </c>
      <c r="O69" s="112">
        <v>29.8</v>
      </c>
      <c r="P69" s="112">
        <v>5.2</v>
      </c>
      <c r="Q69" s="112">
        <v>23</v>
      </c>
      <c r="R69" s="112">
        <v>11.9</v>
      </c>
      <c r="S69" s="112">
        <f t="shared" si="3"/>
        <v>11.55</v>
      </c>
      <c r="T69" s="112">
        <v>0.35</v>
      </c>
      <c r="U69" s="112">
        <v>11</v>
      </c>
      <c r="V69" s="110">
        <v>1</v>
      </c>
      <c r="W69" s="274" t="s">
        <v>185</v>
      </c>
      <c r="X69" s="115">
        <v>1140</v>
      </c>
      <c r="Y69" s="115">
        <f t="shared" si="4"/>
        <v>100.74</v>
      </c>
      <c r="Z69" s="112">
        <v>1.25</v>
      </c>
      <c r="AA69" s="117">
        <v>263</v>
      </c>
      <c r="AB69" s="117">
        <v>4245</v>
      </c>
      <c r="AC69" s="112">
        <v>16.1</v>
      </c>
      <c r="AD69" s="112">
        <v>10.3</v>
      </c>
      <c r="AE69" s="112">
        <f t="shared" si="5"/>
        <v>5.800000000000001</v>
      </c>
      <c r="AF69" s="112">
        <v>16.1</v>
      </c>
      <c r="AG69" s="274" t="s">
        <v>185</v>
      </c>
      <c r="AH69" s="115">
        <v>238232500</v>
      </c>
      <c r="AI69" s="115">
        <v>131667600</v>
      </c>
      <c r="AJ69" s="115">
        <f t="shared" si="6"/>
        <v>106564900</v>
      </c>
      <c r="AK69" s="115">
        <v>177530500</v>
      </c>
      <c r="AL69" s="115">
        <f t="shared" si="7"/>
        <v>60702000</v>
      </c>
      <c r="AM69" s="115">
        <v>92948200</v>
      </c>
      <c r="AN69" s="115">
        <f t="shared" si="8"/>
        <v>76124070</v>
      </c>
      <c r="AO69" s="115">
        <f t="shared" si="9"/>
        <v>8458230</v>
      </c>
      <c r="AP69" s="274" t="s">
        <v>185</v>
      </c>
      <c r="AQ69" s="115">
        <f t="shared" si="10"/>
        <v>38719400</v>
      </c>
      <c r="AR69" s="115">
        <f t="shared" si="11"/>
        <v>21982600</v>
      </c>
      <c r="AS69" s="115">
        <v>238232000</v>
      </c>
      <c r="AT69" s="116">
        <v>289734800</v>
      </c>
      <c r="AU69" s="115">
        <f t="shared" si="12"/>
        <v>228890492</v>
      </c>
      <c r="AV69" s="115">
        <f t="shared" si="13"/>
        <v>60844308</v>
      </c>
      <c r="AW69" s="200"/>
      <c r="AX69" s="115">
        <v>78705000</v>
      </c>
      <c r="AY69" s="115">
        <v>56111000</v>
      </c>
      <c r="AZ69" s="274" t="s">
        <v>185</v>
      </c>
      <c r="BA69" s="115">
        <v>200925000</v>
      </c>
      <c r="BB69" s="115">
        <f t="shared" si="14"/>
        <v>141270367.5</v>
      </c>
      <c r="BC69" s="115">
        <f t="shared" si="15"/>
        <v>37552882.5</v>
      </c>
      <c r="BD69" s="115">
        <f t="shared" si="16"/>
        <v>22101750</v>
      </c>
      <c r="BE69" s="115" t="s">
        <v>185</v>
      </c>
      <c r="BF69" s="115">
        <v>180083000</v>
      </c>
      <c r="BG69" s="274" t="s">
        <v>185</v>
      </c>
      <c r="BH69" s="274">
        <v>280</v>
      </c>
      <c r="BI69" s="109"/>
    </row>
    <row r="70" spans="1:61" ht="15" customHeight="1">
      <c r="A70" s="109">
        <v>2004</v>
      </c>
      <c r="B70" s="274" t="s">
        <v>310</v>
      </c>
      <c r="C70" s="274" t="s">
        <v>235</v>
      </c>
      <c r="D70" s="115">
        <v>338</v>
      </c>
      <c r="E70" s="274">
        <v>1</v>
      </c>
      <c r="F70" s="109">
        <v>491</v>
      </c>
      <c r="G70" s="274" t="s">
        <v>186</v>
      </c>
      <c r="H70" s="274" t="s">
        <v>187</v>
      </c>
      <c r="I70" s="115">
        <v>168.1</v>
      </c>
      <c r="J70" s="115">
        <f t="shared" si="2"/>
        <v>168.1</v>
      </c>
      <c r="K70" s="272"/>
      <c r="L70" s="277">
        <v>2.35</v>
      </c>
      <c r="M70" s="279"/>
      <c r="N70" s="115">
        <v>406.2</v>
      </c>
      <c r="O70" s="112">
        <v>36.9</v>
      </c>
      <c r="P70" s="112">
        <v>5.6</v>
      </c>
      <c r="Q70" s="112">
        <v>24.1</v>
      </c>
      <c r="R70" s="112">
        <v>13.7</v>
      </c>
      <c r="S70" s="112">
        <f t="shared" si="3"/>
        <v>13.399999999999999</v>
      </c>
      <c r="T70" s="112">
        <v>0.3</v>
      </c>
      <c r="U70" s="112">
        <v>10.3</v>
      </c>
      <c r="V70" s="110">
        <v>1</v>
      </c>
      <c r="W70" s="274" t="s">
        <v>185</v>
      </c>
      <c r="X70" s="115">
        <v>1230</v>
      </c>
      <c r="Y70" s="115">
        <f t="shared" si="4"/>
        <v>100.86</v>
      </c>
      <c r="Z70" s="112">
        <v>1.38</v>
      </c>
      <c r="AA70" s="117">
        <v>268</v>
      </c>
      <c r="AB70" s="117">
        <v>4579</v>
      </c>
      <c r="AC70" s="112">
        <v>16.4</v>
      </c>
      <c r="AD70" s="112">
        <v>11.2</v>
      </c>
      <c r="AE70" s="112">
        <f t="shared" si="5"/>
        <v>5.199999999999999</v>
      </c>
      <c r="AF70" s="112">
        <v>16.4</v>
      </c>
      <c r="AG70" s="274" t="s">
        <v>185</v>
      </c>
      <c r="AH70" s="115">
        <v>260239300</v>
      </c>
      <c r="AI70" s="115">
        <v>156109200</v>
      </c>
      <c r="AJ70" s="115">
        <f t="shared" si="6"/>
        <v>104130100</v>
      </c>
      <c r="AK70" s="115">
        <v>195449700</v>
      </c>
      <c r="AL70" s="115">
        <f t="shared" si="7"/>
        <v>64789600</v>
      </c>
      <c r="AM70" s="115">
        <v>112142300</v>
      </c>
      <c r="AN70" s="115">
        <f t="shared" si="8"/>
        <v>74976660</v>
      </c>
      <c r="AO70" s="115">
        <f t="shared" si="9"/>
        <v>8330740</v>
      </c>
      <c r="AP70" s="274" t="s">
        <v>185</v>
      </c>
      <c r="AQ70" s="115">
        <f t="shared" si="10"/>
        <v>43966900</v>
      </c>
      <c r="AR70" s="115">
        <f t="shared" si="11"/>
        <v>20822700</v>
      </c>
      <c r="AS70" s="115">
        <v>260240000</v>
      </c>
      <c r="AT70" s="116">
        <v>261246600</v>
      </c>
      <c r="AU70" s="115">
        <f t="shared" si="12"/>
        <v>206384814</v>
      </c>
      <c r="AV70" s="115">
        <f t="shared" si="13"/>
        <v>54861786</v>
      </c>
      <c r="AW70" s="200"/>
      <c r="AX70" s="115">
        <v>87450000</v>
      </c>
      <c r="AY70" s="115">
        <v>62346000</v>
      </c>
      <c r="AZ70" s="274" t="s">
        <v>185</v>
      </c>
      <c r="BA70" s="115">
        <v>197525000</v>
      </c>
      <c r="BB70" s="115">
        <f t="shared" si="14"/>
        <v>138879827.5</v>
      </c>
      <c r="BC70" s="115">
        <f t="shared" si="15"/>
        <v>36917422.5</v>
      </c>
      <c r="BD70" s="115">
        <f t="shared" si="16"/>
        <v>21727750</v>
      </c>
      <c r="BE70" s="115" t="s">
        <v>185</v>
      </c>
      <c r="BF70" s="115">
        <v>170905000</v>
      </c>
      <c r="BG70" s="274" t="s">
        <v>185</v>
      </c>
      <c r="BH70" s="274">
        <v>280</v>
      </c>
      <c r="BI70" s="109"/>
    </row>
    <row r="71" spans="1:61" ht="15" customHeight="1">
      <c r="A71" s="109">
        <v>2005</v>
      </c>
      <c r="B71" s="274" t="s">
        <v>310</v>
      </c>
      <c r="C71" s="274" t="s">
        <v>235</v>
      </c>
      <c r="D71" s="115">
        <v>342.5</v>
      </c>
      <c r="E71" s="274">
        <v>1</v>
      </c>
      <c r="F71" s="109">
        <v>502</v>
      </c>
      <c r="G71" s="274" t="s">
        <v>186</v>
      </c>
      <c r="H71" s="274" t="s">
        <v>187</v>
      </c>
      <c r="I71" s="115">
        <v>168.2</v>
      </c>
      <c r="J71" s="115">
        <f t="shared" si="2"/>
        <v>168.2</v>
      </c>
      <c r="K71" s="272"/>
      <c r="L71" s="279"/>
      <c r="M71" s="279"/>
      <c r="N71" s="115">
        <v>406.2</v>
      </c>
      <c r="O71" s="112">
        <v>35.4</v>
      </c>
      <c r="P71" s="112">
        <v>6</v>
      </c>
      <c r="Q71" s="112">
        <v>23.7</v>
      </c>
      <c r="R71" s="112">
        <v>13.3</v>
      </c>
      <c r="S71" s="112">
        <f t="shared" si="3"/>
        <v>13</v>
      </c>
      <c r="T71" s="112">
        <v>0.3</v>
      </c>
      <c r="U71" s="112">
        <v>10.3</v>
      </c>
      <c r="V71" s="110">
        <v>1</v>
      </c>
      <c r="W71" s="274" t="s">
        <v>185</v>
      </c>
      <c r="X71" s="115">
        <v>1304</v>
      </c>
      <c r="Y71" s="115">
        <f t="shared" si="4"/>
        <v>100.91999999999999</v>
      </c>
      <c r="Z71" s="112">
        <v>1.49</v>
      </c>
      <c r="AA71" s="117">
        <v>268</v>
      </c>
      <c r="AB71" s="117">
        <v>4830</v>
      </c>
      <c r="AC71" s="112">
        <v>17.6</v>
      </c>
      <c r="AD71" s="112">
        <v>12.2</v>
      </c>
      <c r="AE71" s="112">
        <f t="shared" si="5"/>
        <v>5.400000000000002</v>
      </c>
      <c r="AF71" s="112">
        <v>17.6</v>
      </c>
      <c r="AG71" s="274" t="s">
        <v>185</v>
      </c>
      <c r="AH71" s="115">
        <v>267216500</v>
      </c>
      <c r="AI71" s="115">
        <v>159519000</v>
      </c>
      <c r="AJ71" s="115">
        <f t="shared" si="6"/>
        <v>107697500</v>
      </c>
      <c r="AK71" s="115">
        <v>196486500</v>
      </c>
      <c r="AL71" s="115">
        <f t="shared" si="7"/>
        <v>70730000</v>
      </c>
      <c r="AM71" s="115">
        <v>110625100</v>
      </c>
      <c r="AN71" s="115">
        <f t="shared" si="8"/>
        <v>77275260</v>
      </c>
      <c r="AO71" s="115">
        <f t="shared" si="9"/>
        <v>8586140</v>
      </c>
      <c r="AP71" s="274" t="s">
        <v>185</v>
      </c>
      <c r="AQ71" s="115">
        <f t="shared" si="10"/>
        <v>48893900</v>
      </c>
      <c r="AR71" s="115">
        <f t="shared" si="11"/>
        <v>21836100</v>
      </c>
      <c r="AS71" s="115">
        <v>267216000</v>
      </c>
      <c r="AT71" s="116">
        <v>303495500</v>
      </c>
      <c r="AU71" s="115">
        <f t="shared" si="12"/>
        <v>239761445</v>
      </c>
      <c r="AV71" s="115">
        <f t="shared" si="13"/>
        <v>63734055</v>
      </c>
      <c r="AW71" s="200"/>
      <c r="AX71" s="115">
        <v>88692000</v>
      </c>
      <c r="AY71" s="115">
        <v>65865000</v>
      </c>
      <c r="AZ71" s="274" t="s">
        <v>185</v>
      </c>
      <c r="BA71" s="115">
        <v>188535000</v>
      </c>
      <c r="BB71" s="115">
        <f t="shared" si="14"/>
        <v>132558958.5</v>
      </c>
      <c r="BC71" s="115">
        <f t="shared" si="15"/>
        <v>35237191.5</v>
      </c>
      <c r="BD71" s="115">
        <f t="shared" si="16"/>
        <v>20738850</v>
      </c>
      <c r="BE71" s="115" t="s">
        <v>185</v>
      </c>
      <c r="BF71" s="115">
        <v>103766000</v>
      </c>
      <c r="BG71" s="274" t="s">
        <v>185</v>
      </c>
      <c r="BH71" s="274">
        <v>280</v>
      </c>
      <c r="BI71" s="109"/>
    </row>
    <row r="72" spans="1:61" ht="15" customHeight="1">
      <c r="A72" s="109">
        <v>2006</v>
      </c>
      <c r="B72" s="274" t="s">
        <v>310</v>
      </c>
      <c r="C72" s="274" t="s">
        <v>235</v>
      </c>
      <c r="D72" s="115">
        <v>348.3</v>
      </c>
      <c r="E72" s="274">
        <v>1</v>
      </c>
      <c r="F72" s="109">
        <v>553</v>
      </c>
      <c r="G72" s="274" t="s">
        <v>186</v>
      </c>
      <c r="H72" s="274" t="s">
        <v>187</v>
      </c>
      <c r="I72" s="115">
        <v>168.5</v>
      </c>
      <c r="J72" s="115">
        <f t="shared" si="2"/>
        <v>168.5</v>
      </c>
      <c r="K72" s="272"/>
      <c r="L72" s="278"/>
      <c r="M72" s="278"/>
      <c r="N72" s="115">
        <v>440.6</v>
      </c>
      <c r="O72" s="112">
        <v>36.4</v>
      </c>
      <c r="P72" s="112">
        <v>7.1</v>
      </c>
      <c r="Q72" s="112">
        <v>24.8</v>
      </c>
      <c r="R72" s="112">
        <v>13.9</v>
      </c>
      <c r="S72" s="112">
        <f t="shared" si="3"/>
        <v>13.56</v>
      </c>
      <c r="T72" s="112">
        <v>0.34</v>
      </c>
      <c r="U72" s="112">
        <v>10.8</v>
      </c>
      <c r="V72" s="110">
        <v>1.3</v>
      </c>
      <c r="W72" s="274" t="s">
        <v>185</v>
      </c>
      <c r="X72" s="115">
        <v>1280</v>
      </c>
      <c r="Y72" s="115">
        <f t="shared" si="4"/>
        <v>101.1</v>
      </c>
      <c r="Z72" s="112">
        <v>1.69</v>
      </c>
      <c r="AA72" s="117">
        <v>277.31</v>
      </c>
      <c r="AB72" s="117">
        <v>4952</v>
      </c>
      <c r="AC72" s="112">
        <v>18.6</v>
      </c>
      <c r="AD72" s="112">
        <v>12.1</v>
      </c>
      <c r="AE72" s="112">
        <f t="shared" si="5"/>
        <v>6.500000000000002</v>
      </c>
      <c r="AF72" s="112">
        <v>18.6</v>
      </c>
      <c r="AG72" s="274" t="s">
        <v>185</v>
      </c>
      <c r="AH72" s="115">
        <v>323083700</v>
      </c>
      <c r="AI72" s="115">
        <v>192103600</v>
      </c>
      <c r="AJ72" s="115">
        <f t="shared" si="6"/>
        <v>130980100</v>
      </c>
      <c r="AK72" s="115">
        <v>238025200</v>
      </c>
      <c r="AL72" s="115">
        <f t="shared" si="7"/>
        <v>85058500</v>
      </c>
      <c r="AM72" s="115">
        <v>135435100</v>
      </c>
      <c r="AN72" s="115">
        <f t="shared" si="8"/>
        <v>92331090</v>
      </c>
      <c r="AO72" s="115">
        <f t="shared" si="9"/>
        <v>10259010</v>
      </c>
      <c r="AP72" s="274" t="s">
        <v>185</v>
      </c>
      <c r="AQ72" s="115">
        <f t="shared" si="10"/>
        <v>56668500</v>
      </c>
      <c r="AR72" s="115">
        <f t="shared" si="11"/>
        <v>28390000</v>
      </c>
      <c r="AS72" s="115">
        <v>323083000</v>
      </c>
      <c r="AT72" s="116">
        <v>388519400</v>
      </c>
      <c r="AU72" s="115">
        <f t="shared" si="12"/>
        <v>306930326</v>
      </c>
      <c r="AV72" s="115">
        <f t="shared" si="13"/>
        <v>81589074</v>
      </c>
      <c r="AW72" s="200"/>
      <c r="AX72" s="115">
        <v>161835000</v>
      </c>
      <c r="AY72" s="115">
        <v>81158000</v>
      </c>
      <c r="AZ72" s="274" t="s">
        <v>185</v>
      </c>
      <c r="BA72" s="115">
        <v>438276000</v>
      </c>
      <c r="BB72" s="115">
        <f t="shared" si="14"/>
        <v>308151855.6</v>
      </c>
      <c r="BC72" s="115">
        <f t="shared" si="15"/>
        <v>81913784.39999998</v>
      </c>
      <c r="BD72" s="115">
        <f t="shared" si="16"/>
        <v>48210360</v>
      </c>
      <c r="BE72" s="115" t="s">
        <v>185</v>
      </c>
      <c r="BF72" s="115">
        <v>92496000</v>
      </c>
      <c r="BG72" s="274" t="s">
        <v>185</v>
      </c>
      <c r="BH72" s="274">
        <v>280</v>
      </c>
      <c r="BI72" s="109"/>
    </row>
    <row r="73" spans="1:61" ht="15" customHeight="1">
      <c r="A73" s="109">
        <v>2007</v>
      </c>
      <c r="B73" s="274" t="s">
        <v>310</v>
      </c>
      <c r="C73" s="274" t="s">
        <v>235</v>
      </c>
      <c r="D73" s="115">
        <v>351.4</v>
      </c>
      <c r="E73" s="274">
        <v>1</v>
      </c>
      <c r="F73" s="109">
        <v>490</v>
      </c>
      <c r="G73" s="274" t="s">
        <v>186</v>
      </c>
      <c r="H73" s="274" t="s">
        <v>187</v>
      </c>
      <c r="I73" s="115">
        <v>168.4</v>
      </c>
      <c r="J73" s="115">
        <f t="shared" si="2"/>
        <v>168.4</v>
      </c>
      <c r="K73" s="272"/>
      <c r="L73" s="110">
        <v>2.5</v>
      </c>
      <c r="M73" s="110">
        <v>1.25</v>
      </c>
      <c r="N73" s="115">
        <v>462</v>
      </c>
      <c r="O73" s="112">
        <v>36.2</v>
      </c>
      <c r="P73" s="112">
        <v>9.6</v>
      </c>
      <c r="Q73" s="112">
        <v>25.5</v>
      </c>
      <c r="R73" s="112">
        <v>14.03</v>
      </c>
      <c r="S73" s="112">
        <f t="shared" si="3"/>
        <v>13.68</v>
      </c>
      <c r="T73" s="112">
        <v>0.35</v>
      </c>
      <c r="U73" s="112">
        <v>11.47</v>
      </c>
      <c r="V73" s="110">
        <v>2</v>
      </c>
      <c r="W73" s="274" t="s">
        <v>185</v>
      </c>
      <c r="X73" s="115">
        <v>1150</v>
      </c>
      <c r="Y73" s="115">
        <f t="shared" si="4"/>
        <v>101.04</v>
      </c>
      <c r="Z73" s="112">
        <v>1.85</v>
      </c>
      <c r="AA73" s="117">
        <v>277.31</v>
      </c>
      <c r="AB73" s="117">
        <v>5015</v>
      </c>
      <c r="AC73" s="112">
        <v>18.4</v>
      </c>
      <c r="AD73" s="112">
        <v>11.6</v>
      </c>
      <c r="AE73" s="112">
        <f t="shared" si="5"/>
        <v>6.799999999999999</v>
      </c>
      <c r="AF73" s="112">
        <v>18.4</v>
      </c>
      <c r="AG73" s="274" t="s">
        <v>185</v>
      </c>
      <c r="AH73" s="115">
        <v>356520300</v>
      </c>
      <c r="AI73" s="115">
        <v>204054700</v>
      </c>
      <c r="AJ73" s="115">
        <f t="shared" si="6"/>
        <v>152465600</v>
      </c>
      <c r="AK73" s="115">
        <v>264290100</v>
      </c>
      <c r="AL73" s="115">
        <f t="shared" si="7"/>
        <v>92230200</v>
      </c>
      <c r="AM73" s="115">
        <v>145598700</v>
      </c>
      <c r="AN73" s="115">
        <f t="shared" si="8"/>
        <v>106822260</v>
      </c>
      <c r="AO73" s="115">
        <f t="shared" si="9"/>
        <v>11869140</v>
      </c>
      <c r="AP73" s="274" t="s">
        <v>185</v>
      </c>
      <c r="AQ73" s="115">
        <f t="shared" si="10"/>
        <v>58456000</v>
      </c>
      <c r="AR73" s="115">
        <f t="shared" si="11"/>
        <v>33774200</v>
      </c>
      <c r="AS73" s="115">
        <v>356520300</v>
      </c>
      <c r="AT73" s="116">
        <v>462751200</v>
      </c>
      <c r="AU73" s="115">
        <f t="shared" si="12"/>
        <v>365573448</v>
      </c>
      <c r="AV73" s="115">
        <f t="shared" si="13"/>
        <v>97177752</v>
      </c>
      <c r="AW73" s="200"/>
      <c r="AX73" s="115">
        <v>140372000</v>
      </c>
      <c r="AY73" s="115">
        <v>101460000</v>
      </c>
      <c r="AZ73" s="274" t="s">
        <v>185</v>
      </c>
      <c r="BA73" s="115">
        <v>493875000</v>
      </c>
      <c r="BB73" s="115">
        <f t="shared" si="14"/>
        <v>347243512.5</v>
      </c>
      <c r="BC73" s="115">
        <f t="shared" si="15"/>
        <v>92305237.5</v>
      </c>
      <c r="BD73" s="115">
        <f t="shared" si="16"/>
        <v>54326250</v>
      </c>
      <c r="BE73" s="115" t="s">
        <v>185</v>
      </c>
      <c r="BF73" s="115">
        <v>74937000</v>
      </c>
      <c r="BG73" s="274" t="s">
        <v>185</v>
      </c>
      <c r="BH73" s="274">
        <v>280</v>
      </c>
      <c r="BI73" s="109"/>
    </row>
    <row r="74" spans="1:61" ht="15" customHeight="1">
      <c r="A74" s="109">
        <v>2008</v>
      </c>
      <c r="B74" s="274" t="s">
        <v>310</v>
      </c>
      <c r="C74" s="274" t="s">
        <v>235</v>
      </c>
      <c r="D74" s="115">
        <v>351.5</v>
      </c>
      <c r="E74" s="274">
        <v>1</v>
      </c>
      <c r="F74" s="109">
        <v>559</v>
      </c>
      <c r="G74" s="274" t="s">
        <v>186</v>
      </c>
      <c r="H74" s="274" t="s">
        <v>187</v>
      </c>
      <c r="I74" s="115">
        <v>168.6</v>
      </c>
      <c r="J74" s="115">
        <v>168.6</v>
      </c>
      <c r="K74" s="272"/>
      <c r="L74" s="277">
        <v>2.6</v>
      </c>
      <c r="M74" s="110">
        <v>1.36</v>
      </c>
      <c r="N74" s="115">
        <v>462.91</v>
      </c>
      <c r="O74" s="112">
        <v>32.58</v>
      </c>
      <c r="P74" s="112">
        <v>19.67</v>
      </c>
      <c r="Q74" s="112">
        <v>23.28</v>
      </c>
      <c r="R74" s="112">
        <v>12.45</v>
      </c>
      <c r="S74" s="112">
        <v>12.2</v>
      </c>
      <c r="T74" s="112">
        <v>0.25</v>
      </c>
      <c r="U74" s="112">
        <v>8</v>
      </c>
      <c r="V74" s="110">
        <v>2.8</v>
      </c>
      <c r="W74" s="274" t="s">
        <v>185</v>
      </c>
      <c r="X74" s="115">
        <v>972</v>
      </c>
      <c r="Y74" s="115">
        <v>102.1</v>
      </c>
      <c r="Z74" s="112">
        <v>2.15</v>
      </c>
      <c r="AA74" s="117">
        <v>277.31</v>
      </c>
      <c r="AB74" s="117">
        <v>4300</v>
      </c>
      <c r="AC74" s="112">
        <v>17.29</v>
      </c>
      <c r="AD74" s="112">
        <v>11.08</v>
      </c>
      <c r="AE74" s="112">
        <f t="shared" si="5"/>
        <v>6.209999999999999</v>
      </c>
      <c r="AF74" s="112">
        <v>17.29</v>
      </c>
      <c r="AG74" s="274" t="s">
        <v>185</v>
      </c>
      <c r="AH74" s="115">
        <v>556309500</v>
      </c>
      <c r="AI74" s="115">
        <v>307098000</v>
      </c>
      <c r="AJ74" s="115">
        <f t="shared" si="6"/>
        <v>249211500</v>
      </c>
      <c r="AK74" s="115">
        <v>466917300</v>
      </c>
      <c r="AL74" s="115">
        <f t="shared" si="7"/>
        <v>89392200</v>
      </c>
      <c r="AM74" s="115">
        <v>249800600</v>
      </c>
      <c r="AN74" s="115">
        <v>159844400</v>
      </c>
      <c r="AO74" s="115">
        <v>57272300</v>
      </c>
      <c r="AP74" s="274" t="s">
        <v>185</v>
      </c>
      <c r="AQ74" s="115">
        <v>57297400</v>
      </c>
      <c r="AR74" s="115">
        <v>32094800</v>
      </c>
      <c r="AS74" s="115">
        <v>556309500</v>
      </c>
      <c r="AT74" s="116">
        <v>570716100</v>
      </c>
      <c r="AU74" s="115">
        <v>433140100</v>
      </c>
      <c r="AV74" s="115">
        <v>137576000</v>
      </c>
      <c r="AW74" s="200"/>
      <c r="AX74" s="115">
        <v>206955800</v>
      </c>
      <c r="AY74" s="115">
        <v>122347400</v>
      </c>
      <c r="AZ74" s="274" t="s">
        <v>185</v>
      </c>
      <c r="BA74" s="115">
        <v>377941173</v>
      </c>
      <c r="BB74" s="115">
        <v>241479212</v>
      </c>
      <c r="BC74" s="115">
        <v>79435479</v>
      </c>
      <c r="BD74" s="115">
        <v>67026483</v>
      </c>
      <c r="BE74" s="115" t="s">
        <v>185</v>
      </c>
      <c r="BF74" s="115">
        <v>55862200</v>
      </c>
      <c r="BG74" s="274" t="s">
        <v>185</v>
      </c>
      <c r="BH74" s="274">
        <v>280</v>
      </c>
      <c r="BI74" s="109"/>
    </row>
    <row r="75" spans="1:61" ht="15" customHeight="1">
      <c r="A75" s="132">
        <v>2009</v>
      </c>
      <c r="B75" s="274" t="s">
        <v>310</v>
      </c>
      <c r="C75" s="274" t="s">
        <v>235</v>
      </c>
      <c r="D75" s="120">
        <v>351.5</v>
      </c>
      <c r="E75" s="274">
        <v>1</v>
      </c>
      <c r="F75" s="132">
        <v>493</v>
      </c>
      <c r="G75" s="274" t="s">
        <v>186</v>
      </c>
      <c r="H75" s="274" t="s">
        <v>187</v>
      </c>
      <c r="I75" s="120">
        <v>168.5</v>
      </c>
      <c r="J75" s="120">
        <v>168.5</v>
      </c>
      <c r="K75" s="273"/>
      <c r="L75" s="273"/>
      <c r="M75" s="122">
        <v>1.47</v>
      </c>
      <c r="N75" s="120">
        <v>462.91</v>
      </c>
      <c r="O75" s="121">
        <v>36.7</v>
      </c>
      <c r="P75" s="121">
        <v>14.42</v>
      </c>
      <c r="Q75" s="121">
        <v>26.37</v>
      </c>
      <c r="R75" s="121">
        <v>13.3</v>
      </c>
      <c r="S75" s="121">
        <v>13</v>
      </c>
      <c r="T75" s="121">
        <v>0.3</v>
      </c>
      <c r="U75" s="121">
        <v>10.02</v>
      </c>
      <c r="V75" s="122">
        <v>3</v>
      </c>
      <c r="W75" s="274" t="s">
        <v>185</v>
      </c>
      <c r="X75" s="120">
        <v>1010</v>
      </c>
      <c r="Y75" s="120">
        <v>102</v>
      </c>
      <c r="Z75" s="121">
        <v>2.3</v>
      </c>
      <c r="AA75" s="117">
        <v>277.31</v>
      </c>
      <c r="AB75" s="117">
        <v>4076</v>
      </c>
      <c r="AC75" s="121">
        <v>18.58</v>
      </c>
      <c r="AD75" s="121">
        <v>11.44</v>
      </c>
      <c r="AE75" s="121">
        <f t="shared" si="5"/>
        <v>7.139999999999999</v>
      </c>
      <c r="AF75" s="121">
        <v>18.58</v>
      </c>
      <c r="AG75" s="274" t="s">
        <v>185</v>
      </c>
      <c r="AH75" s="120">
        <v>388226900</v>
      </c>
      <c r="AI75" s="120">
        <v>204902200</v>
      </c>
      <c r="AJ75" s="120">
        <f t="shared" si="6"/>
        <v>183324700</v>
      </c>
      <c r="AK75" s="120">
        <v>306780400</v>
      </c>
      <c r="AL75" s="120">
        <f t="shared" si="7"/>
        <v>81446500</v>
      </c>
      <c r="AM75" s="120">
        <v>154681400</v>
      </c>
      <c r="AN75" s="120">
        <v>116812300</v>
      </c>
      <c r="AO75" s="120">
        <v>35286700</v>
      </c>
      <c r="AP75" s="274" t="s">
        <v>185</v>
      </c>
      <c r="AQ75" s="120">
        <v>50220800</v>
      </c>
      <c r="AR75" s="120">
        <v>31225700</v>
      </c>
      <c r="AS75" s="120">
        <v>388226900</v>
      </c>
      <c r="AT75" s="162">
        <v>490013200</v>
      </c>
      <c r="AU75" s="120">
        <v>394103600</v>
      </c>
      <c r="AV75" s="120">
        <v>95909600</v>
      </c>
      <c r="AW75" s="148"/>
      <c r="AX75" s="120">
        <v>158729700</v>
      </c>
      <c r="AY75" s="120">
        <v>141045900</v>
      </c>
      <c r="AZ75" s="274" t="s">
        <v>185</v>
      </c>
      <c r="BA75" s="120">
        <v>424626720</v>
      </c>
      <c r="BB75" s="120">
        <v>273418587</v>
      </c>
      <c r="BC75" s="120">
        <v>90657411</v>
      </c>
      <c r="BD75" s="120">
        <v>67550722</v>
      </c>
      <c r="BE75" s="120" t="s">
        <v>185</v>
      </c>
      <c r="BF75" s="120">
        <v>48549700</v>
      </c>
      <c r="BG75" s="274" t="s">
        <v>185</v>
      </c>
      <c r="BH75" s="274">
        <v>280</v>
      </c>
      <c r="BI75" s="132">
        <v>15.709</v>
      </c>
    </row>
    <row r="76" spans="1:61" ht="15" customHeight="1">
      <c r="A76" s="109">
        <v>2010</v>
      </c>
      <c r="B76" s="275" t="s">
        <v>310</v>
      </c>
      <c r="C76" s="275" t="s">
        <v>235</v>
      </c>
      <c r="D76" s="115">
        <v>327.07</v>
      </c>
      <c r="E76" s="275">
        <v>1</v>
      </c>
      <c r="F76" s="109">
        <v>570</v>
      </c>
      <c r="G76" s="275" t="s">
        <v>186</v>
      </c>
      <c r="H76" s="275" t="s">
        <v>187</v>
      </c>
      <c r="I76" s="115">
        <v>220.22</v>
      </c>
      <c r="J76" s="115">
        <v>219.5</v>
      </c>
      <c r="K76" s="110">
        <v>0.72</v>
      </c>
      <c r="L76" s="110">
        <v>2.85</v>
      </c>
      <c r="M76" s="110">
        <v>1.58</v>
      </c>
      <c r="N76" s="115">
        <v>462.91</v>
      </c>
      <c r="O76" s="112">
        <v>28.51</v>
      </c>
      <c r="P76" s="112">
        <v>9.2</v>
      </c>
      <c r="Q76" s="112">
        <v>20.2</v>
      </c>
      <c r="R76" s="112">
        <v>10.3</v>
      </c>
      <c r="S76" s="112">
        <v>10.1</v>
      </c>
      <c r="T76" s="112">
        <v>0.2</v>
      </c>
      <c r="U76" s="112">
        <v>7</v>
      </c>
      <c r="V76" s="110">
        <v>2.8</v>
      </c>
      <c r="W76" s="275" t="s">
        <v>185</v>
      </c>
      <c r="X76" s="115">
        <v>827</v>
      </c>
      <c r="Y76" s="115">
        <v>136.99</v>
      </c>
      <c r="Z76" s="112">
        <v>2.4</v>
      </c>
      <c r="AA76" s="114">
        <v>277.31</v>
      </c>
      <c r="AB76" s="114">
        <v>4300</v>
      </c>
      <c r="AC76" s="112">
        <v>14.8</v>
      </c>
      <c r="AD76" s="112">
        <v>8.9</v>
      </c>
      <c r="AE76" s="112">
        <v>5.8</v>
      </c>
      <c r="AF76" s="112">
        <v>14.9</v>
      </c>
      <c r="AG76" s="275" t="s">
        <v>185</v>
      </c>
      <c r="AH76" s="115">
        <v>646050500</v>
      </c>
      <c r="AI76" s="115">
        <v>273671400</v>
      </c>
      <c r="AJ76" s="115">
        <f t="shared" si="6"/>
        <v>372379100</v>
      </c>
      <c r="AK76" s="115">
        <v>498542300</v>
      </c>
      <c r="AL76" s="115">
        <f t="shared" si="7"/>
        <v>147508200</v>
      </c>
      <c r="AM76" s="115">
        <v>221071200</v>
      </c>
      <c r="AN76" s="115">
        <v>194613800</v>
      </c>
      <c r="AO76" s="115">
        <v>82857300</v>
      </c>
      <c r="AP76" s="275" t="s">
        <v>185</v>
      </c>
      <c r="AQ76" s="115">
        <v>52600200</v>
      </c>
      <c r="AR76" s="115">
        <v>94908000</v>
      </c>
      <c r="AS76" s="115">
        <v>646050500</v>
      </c>
      <c r="AT76" s="116">
        <v>670756000</v>
      </c>
      <c r="AU76" s="115">
        <v>531591200</v>
      </c>
      <c r="AV76" s="115">
        <v>139164700</v>
      </c>
      <c r="AW76" s="200"/>
      <c r="AX76" s="115">
        <v>238804000</v>
      </c>
      <c r="AY76" s="115">
        <v>142540100</v>
      </c>
      <c r="AZ76" s="275" t="s">
        <v>185</v>
      </c>
      <c r="BA76" s="115">
        <v>545451495</v>
      </c>
      <c r="BB76" s="115">
        <v>363032298</v>
      </c>
      <c r="BC76" s="115">
        <v>114641779</v>
      </c>
      <c r="BD76" s="115">
        <v>67777418</v>
      </c>
      <c r="BE76" s="115" t="s">
        <v>185</v>
      </c>
      <c r="BF76" s="115">
        <v>48949700</v>
      </c>
      <c r="BG76" s="275" t="s">
        <v>185</v>
      </c>
      <c r="BH76" s="275">
        <v>280</v>
      </c>
      <c r="BI76" s="109">
        <v>14.537</v>
      </c>
    </row>
    <row r="77" spans="1:60" s="74" customFormat="1" ht="6" customHeight="1" thickBot="1">
      <c r="A77" s="76"/>
      <c r="B77" s="81"/>
      <c r="C77" s="81"/>
      <c r="D77" s="75"/>
      <c r="E77" s="78"/>
      <c r="H77" s="82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4"/>
      <c r="U77" s="83"/>
      <c r="V77" s="83"/>
      <c r="W77" s="83"/>
      <c r="X77" s="78"/>
      <c r="Y77" s="83"/>
      <c r="Z77" s="83"/>
      <c r="AA77" s="83"/>
      <c r="AB77" s="78"/>
      <c r="AC77" s="83"/>
      <c r="AD77" s="83"/>
      <c r="AE77" s="83"/>
      <c r="AF77" s="83"/>
      <c r="AG77" s="83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85"/>
    </row>
    <row r="78" spans="1:61" ht="15" customHeight="1">
      <c r="A78" s="109">
        <v>2002</v>
      </c>
      <c r="B78" s="276" t="s">
        <v>236</v>
      </c>
      <c r="C78" s="276" t="s">
        <v>237</v>
      </c>
      <c r="D78" s="115">
        <v>291.9</v>
      </c>
      <c r="E78" s="276">
        <v>2</v>
      </c>
      <c r="F78" s="109">
        <v>1051</v>
      </c>
      <c r="G78" s="276" t="s">
        <v>186</v>
      </c>
      <c r="H78" s="276" t="s">
        <v>187</v>
      </c>
      <c r="I78" s="115">
        <v>217.931</v>
      </c>
      <c r="J78" s="115">
        <v>196.187</v>
      </c>
      <c r="K78" s="110">
        <v>21.744</v>
      </c>
      <c r="L78" s="110">
        <v>7.6</v>
      </c>
      <c r="M78" s="110">
        <v>3.2</v>
      </c>
      <c r="N78" s="251">
        <v>441</v>
      </c>
      <c r="O78" s="112">
        <v>43.49</v>
      </c>
      <c r="P78" s="112">
        <v>4.23</v>
      </c>
      <c r="Q78" s="112">
        <v>43.49</v>
      </c>
      <c r="R78" s="112">
        <f>17.42+2.03</f>
        <v>19.450000000000003</v>
      </c>
      <c r="S78" s="112">
        <v>18.89</v>
      </c>
      <c r="T78" s="112">
        <v>0.5588</v>
      </c>
      <c r="U78" s="112">
        <v>22.6</v>
      </c>
      <c r="V78" s="112">
        <v>1.44</v>
      </c>
      <c r="W78" s="251" t="s">
        <v>185</v>
      </c>
      <c r="X78" s="115">
        <v>292</v>
      </c>
      <c r="Y78" s="115">
        <v>191.445</v>
      </c>
      <c r="Z78" s="110">
        <v>5.3</v>
      </c>
      <c r="AA78" s="117">
        <v>340.4</v>
      </c>
      <c r="AB78" s="117">
        <v>4538</v>
      </c>
      <c r="AC78" s="112">
        <v>21.41</v>
      </c>
      <c r="AD78" s="112">
        <v>16.9</v>
      </c>
      <c r="AE78" s="112">
        <f aca="true" t="shared" si="17" ref="AE78:AE86">AC78-AD78</f>
        <v>4.510000000000002</v>
      </c>
      <c r="AF78" s="112">
        <v>21.41</v>
      </c>
      <c r="AG78" s="112">
        <v>21.41</v>
      </c>
      <c r="AH78" s="115">
        <v>786153700</v>
      </c>
      <c r="AI78" s="115">
        <f>206938000+4057000+161748400</f>
        <v>372743400</v>
      </c>
      <c r="AJ78" s="115">
        <f aca="true" t="shared" si="18" ref="AJ78:AJ84">AH78-AI78</f>
        <v>413410300</v>
      </c>
      <c r="AK78" s="115">
        <v>559246600</v>
      </c>
      <c r="AL78" s="115">
        <f aca="true" t="shared" si="19" ref="AL78:AL83">AH78-AK78</f>
        <v>226907100</v>
      </c>
      <c r="AM78" s="115">
        <f>206938000+4057100</f>
        <v>210995100</v>
      </c>
      <c r="AN78" s="115">
        <f>40012400+287314300</f>
        <v>327326700</v>
      </c>
      <c r="AO78" s="115">
        <f>AK78-AM78-AN78</f>
        <v>20924800</v>
      </c>
      <c r="AP78" s="251" t="s">
        <v>185</v>
      </c>
      <c r="AQ78" s="115">
        <v>161748400</v>
      </c>
      <c r="AR78" s="115">
        <f aca="true" t="shared" si="20" ref="AR78:AR83">AL78-AQ78</f>
        <v>65158700</v>
      </c>
      <c r="AS78" s="115">
        <v>464862410</v>
      </c>
      <c r="AT78" s="116">
        <v>794165800</v>
      </c>
      <c r="AU78" s="115">
        <f>337703200+145087800</f>
        <v>482791000</v>
      </c>
      <c r="AV78" s="115">
        <v>215338300</v>
      </c>
      <c r="AW78" s="115">
        <f aca="true" t="shared" si="21" ref="AW78:AW83">AT78-AU78-AV78</f>
        <v>96036500</v>
      </c>
      <c r="AX78" s="115">
        <v>211840800</v>
      </c>
      <c r="AY78" s="115">
        <v>166355800</v>
      </c>
      <c r="AZ78" s="251" t="s">
        <v>185</v>
      </c>
      <c r="BA78" s="115">
        <v>2249178287</v>
      </c>
      <c r="BB78" s="115">
        <v>970441414</v>
      </c>
      <c r="BC78" s="115">
        <v>1058012756</v>
      </c>
      <c r="BD78" s="115">
        <v>220724117</v>
      </c>
      <c r="BE78" s="254" t="s">
        <v>238</v>
      </c>
      <c r="BF78" s="115">
        <v>164831132</v>
      </c>
      <c r="BG78" s="251" t="s">
        <v>185</v>
      </c>
      <c r="BH78" s="251">
        <v>300</v>
      </c>
      <c r="BI78" s="110"/>
    </row>
    <row r="79" spans="1:61" ht="15" customHeight="1">
      <c r="A79" s="109">
        <v>2003</v>
      </c>
      <c r="B79" s="274" t="s">
        <v>236</v>
      </c>
      <c r="C79" s="274" t="s">
        <v>237</v>
      </c>
      <c r="D79" s="115">
        <v>295.2</v>
      </c>
      <c r="E79" s="274">
        <v>2</v>
      </c>
      <c r="F79" s="109">
        <v>1029</v>
      </c>
      <c r="G79" s="274" t="s">
        <v>186</v>
      </c>
      <c r="H79" s="274" t="s">
        <v>187</v>
      </c>
      <c r="I79" s="115">
        <v>218.476</v>
      </c>
      <c r="J79" s="115">
        <v>196.878</v>
      </c>
      <c r="K79" s="110">
        <v>21.598</v>
      </c>
      <c r="L79" s="110">
        <v>8.2</v>
      </c>
      <c r="M79" s="110">
        <v>3.3</v>
      </c>
      <c r="N79" s="272"/>
      <c r="O79" s="112">
        <v>47.92</v>
      </c>
      <c r="P79" s="112">
        <v>4.9</v>
      </c>
      <c r="Q79" s="112">
        <v>47.92</v>
      </c>
      <c r="R79" s="112">
        <f>17.23+2.77</f>
        <v>20</v>
      </c>
      <c r="S79" s="112">
        <v>19.4343</v>
      </c>
      <c r="T79" s="112">
        <v>0.5711</v>
      </c>
      <c r="U79" s="112">
        <v>26.2</v>
      </c>
      <c r="V79" s="112">
        <v>1.72</v>
      </c>
      <c r="W79" s="272" t="s">
        <v>185</v>
      </c>
      <c r="X79" s="115">
        <v>280</v>
      </c>
      <c r="Y79" s="115">
        <v>191.963</v>
      </c>
      <c r="Z79" s="110">
        <v>5.3</v>
      </c>
      <c r="AA79" s="117">
        <v>370.49</v>
      </c>
      <c r="AB79" s="117">
        <v>4528</v>
      </c>
      <c r="AC79" s="112">
        <v>21.42</v>
      </c>
      <c r="AD79" s="112">
        <v>16.66</v>
      </c>
      <c r="AE79" s="112">
        <f t="shared" si="17"/>
        <v>4.760000000000002</v>
      </c>
      <c r="AF79" s="112">
        <v>21.42</v>
      </c>
      <c r="AG79" s="112">
        <v>21.42</v>
      </c>
      <c r="AH79" s="115">
        <v>845641000</v>
      </c>
      <c r="AI79" s="115">
        <f>204703800+5549100+159751300</f>
        <v>370004200</v>
      </c>
      <c r="AJ79" s="115">
        <f t="shared" si="18"/>
        <v>475636800</v>
      </c>
      <c r="AK79" s="115">
        <v>617486500</v>
      </c>
      <c r="AL79" s="115">
        <f t="shared" si="19"/>
        <v>228154500</v>
      </c>
      <c r="AM79" s="115">
        <f>204703800+5549100</f>
        <v>210252900</v>
      </c>
      <c r="AN79" s="115">
        <f>38395400+347046700</f>
        <v>385442100</v>
      </c>
      <c r="AO79" s="115">
        <f>AK79-AM79-AN79</f>
        <v>21791500</v>
      </c>
      <c r="AP79" s="272" t="s">
        <v>185</v>
      </c>
      <c r="AQ79" s="115">
        <v>159751300</v>
      </c>
      <c r="AR79" s="115">
        <f t="shared" si="20"/>
        <v>68403200</v>
      </c>
      <c r="AS79" s="115">
        <v>524560200</v>
      </c>
      <c r="AT79" s="116">
        <v>851613700</v>
      </c>
      <c r="AU79" s="115">
        <f>238596800+297160600</f>
        <v>535757400</v>
      </c>
      <c r="AV79" s="115">
        <v>214388900</v>
      </c>
      <c r="AW79" s="115">
        <f t="shared" si="21"/>
        <v>101467400</v>
      </c>
      <c r="AX79" s="115">
        <v>220569900</v>
      </c>
      <c r="AY79" s="115">
        <v>136371000</v>
      </c>
      <c r="AZ79" s="272" t="s">
        <v>185</v>
      </c>
      <c r="BA79" s="115">
        <v>2302309960</v>
      </c>
      <c r="BB79" s="115">
        <v>1034114855</v>
      </c>
      <c r="BC79" s="115">
        <v>1058276150</v>
      </c>
      <c r="BD79" s="115">
        <v>209918955</v>
      </c>
      <c r="BE79" s="274" t="s">
        <v>238</v>
      </c>
      <c r="BF79" s="115">
        <v>139569020</v>
      </c>
      <c r="BG79" s="272" t="s">
        <v>185</v>
      </c>
      <c r="BH79" s="272">
        <v>300</v>
      </c>
      <c r="BI79" s="110"/>
    </row>
    <row r="80" spans="1:61" ht="15" customHeight="1">
      <c r="A80" s="109">
        <v>2004</v>
      </c>
      <c r="B80" s="274" t="s">
        <v>236</v>
      </c>
      <c r="C80" s="274" t="s">
        <v>237</v>
      </c>
      <c r="D80" s="115">
        <v>300.3</v>
      </c>
      <c r="E80" s="274">
        <v>2</v>
      </c>
      <c r="F80" s="109">
        <v>982</v>
      </c>
      <c r="G80" s="274" t="s">
        <v>186</v>
      </c>
      <c r="H80" s="274" t="s">
        <v>187</v>
      </c>
      <c r="I80" s="115">
        <v>223.038</v>
      </c>
      <c r="J80" s="115">
        <v>200.809</v>
      </c>
      <c r="K80" s="110">
        <v>22.229</v>
      </c>
      <c r="L80" s="110">
        <v>8.5</v>
      </c>
      <c r="M80" s="110">
        <v>3.6</v>
      </c>
      <c r="N80" s="272"/>
      <c r="O80" s="112">
        <v>48.74</v>
      </c>
      <c r="P80" s="112">
        <v>5.52</v>
      </c>
      <c r="Q80" s="112">
        <v>48.74</v>
      </c>
      <c r="R80" s="112">
        <f>17.66+2.13</f>
        <v>19.79</v>
      </c>
      <c r="S80" s="112">
        <v>19.19</v>
      </c>
      <c r="T80" s="112">
        <v>0.6009</v>
      </c>
      <c r="U80" s="112">
        <v>27.21</v>
      </c>
      <c r="V80" s="112">
        <v>1.74</v>
      </c>
      <c r="W80" s="272" t="s">
        <v>185</v>
      </c>
      <c r="X80" s="115">
        <v>239</v>
      </c>
      <c r="Y80" s="115">
        <v>195.79</v>
      </c>
      <c r="Z80" s="110">
        <v>5.4</v>
      </c>
      <c r="AA80" s="117">
        <v>370.49</v>
      </c>
      <c r="AB80" s="117">
        <v>4221</v>
      </c>
      <c r="AC80" s="112">
        <v>22.31</v>
      </c>
      <c r="AD80" s="112">
        <v>17.03</v>
      </c>
      <c r="AE80" s="112">
        <f>AC80-AD80</f>
        <v>5.279999999999998</v>
      </c>
      <c r="AF80" s="112">
        <v>22.31</v>
      </c>
      <c r="AG80" s="112">
        <v>22.31</v>
      </c>
      <c r="AH80" s="115">
        <v>867643600</v>
      </c>
      <c r="AI80" s="115">
        <f>208877200+4263600+162548700</f>
        <v>375689500</v>
      </c>
      <c r="AJ80" s="115">
        <f t="shared" si="18"/>
        <v>491954100</v>
      </c>
      <c r="AK80" s="115">
        <v>629722700</v>
      </c>
      <c r="AL80" s="115">
        <f t="shared" si="19"/>
        <v>237920900</v>
      </c>
      <c r="AM80" s="115">
        <f>208877200+4263600</f>
        <v>213140800</v>
      </c>
      <c r="AN80" s="115">
        <v>394294800</v>
      </c>
      <c r="AO80" s="115">
        <v>22287100</v>
      </c>
      <c r="AP80" s="272" t="s">
        <v>185</v>
      </c>
      <c r="AQ80" s="115">
        <v>162548700</v>
      </c>
      <c r="AR80" s="115">
        <f t="shared" si="20"/>
        <v>75372200</v>
      </c>
      <c r="AS80" s="115">
        <v>547988500</v>
      </c>
      <c r="AT80" s="116">
        <v>878310100</v>
      </c>
      <c r="AU80" s="115">
        <f>262565700+276696400</f>
        <v>539262100</v>
      </c>
      <c r="AV80" s="115">
        <v>247237000</v>
      </c>
      <c r="AW80" s="115">
        <f t="shared" si="21"/>
        <v>91811000</v>
      </c>
      <c r="AX80" s="115">
        <f>214916200+23481200+3749400</f>
        <v>242146800</v>
      </c>
      <c r="AY80" s="115">
        <f>140744100+519200</f>
        <v>141263300</v>
      </c>
      <c r="AZ80" s="272" t="s">
        <v>185</v>
      </c>
      <c r="BA80" s="115">
        <v>2558598861</v>
      </c>
      <c r="BB80" s="115">
        <v>1092098017</v>
      </c>
      <c r="BC80" s="115">
        <v>1239841703</v>
      </c>
      <c r="BD80" s="115">
        <v>226659141</v>
      </c>
      <c r="BE80" s="274" t="s">
        <v>238</v>
      </c>
      <c r="BF80" s="115">
        <v>95112233</v>
      </c>
      <c r="BG80" s="272" t="s">
        <v>185</v>
      </c>
      <c r="BH80" s="272">
        <v>300</v>
      </c>
      <c r="BI80" s="110"/>
    </row>
    <row r="81" spans="1:61" ht="15" customHeight="1">
      <c r="A81" s="109">
        <v>2005</v>
      </c>
      <c r="B81" s="274" t="s">
        <v>236</v>
      </c>
      <c r="C81" s="274" t="s">
        <v>237</v>
      </c>
      <c r="D81" s="115">
        <v>304.8</v>
      </c>
      <c r="E81" s="274">
        <v>2</v>
      </c>
      <c r="F81" s="109">
        <v>910</v>
      </c>
      <c r="G81" s="274" t="s">
        <v>186</v>
      </c>
      <c r="H81" s="274" t="s">
        <v>187</v>
      </c>
      <c r="I81" s="115">
        <v>228.906</v>
      </c>
      <c r="J81" s="115">
        <v>206.986</v>
      </c>
      <c r="K81" s="110">
        <v>21.92</v>
      </c>
      <c r="L81" s="110">
        <v>8.6</v>
      </c>
      <c r="M81" s="110">
        <v>4.5</v>
      </c>
      <c r="N81" s="272"/>
      <c r="O81" s="112">
        <v>48.96</v>
      </c>
      <c r="P81" s="112">
        <v>6.43</v>
      </c>
      <c r="Q81" s="112">
        <v>48.96</v>
      </c>
      <c r="R81" s="112">
        <v>19.91</v>
      </c>
      <c r="S81" s="112">
        <v>19.52</v>
      </c>
      <c r="T81" s="112">
        <v>0.39</v>
      </c>
      <c r="U81" s="112">
        <v>27.2406</v>
      </c>
      <c r="V81" s="112">
        <v>1.81</v>
      </c>
      <c r="W81" s="272" t="s">
        <v>185</v>
      </c>
      <c r="X81" s="115">
        <v>344</v>
      </c>
      <c r="Y81" s="115">
        <v>201.631</v>
      </c>
      <c r="Z81" s="110">
        <v>5.5</v>
      </c>
      <c r="AA81" s="117">
        <v>370.49</v>
      </c>
      <c r="AB81" s="117">
        <v>5989</v>
      </c>
      <c r="AC81" s="112">
        <v>23.14</v>
      </c>
      <c r="AD81" s="112">
        <v>17.44</v>
      </c>
      <c r="AE81" s="112">
        <f t="shared" si="17"/>
        <v>5.699999999999999</v>
      </c>
      <c r="AF81" s="112">
        <v>23.14</v>
      </c>
      <c r="AG81" s="112">
        <v>23.14</v>
      </c>
      <c r="AH81" s="115">
        <v>886911797</v>
      </c>
      <c r="AI81" s="115">
        <v>384570257</v>
      </c>
      <c r="AJ81" s="115">
        <f t="shared" si="18"/>
        <v>502341540</v>
      </c>
      <c r="AK81" s="115">
        <v>639095046</v>
      </c>
      <c r="AL81" s="115">
        <f t="shared" si="19"/>
        <v>247816751</v>
      </c>
      <c r="AM81" s="115">
        <v>218160645</v>
      </c>
      <c r="AN81" s="115">
        <v>398624881</v>
      </c>
      <c r="AO81" s="115">
        <v>22309520</v>
      </c>
      <c r="AP81" s="272" t="s">
        <v>185</v>
      </c>
      <c r="AQ81" s="115">
        <v>166409613</v>
      </c>
      <c r="AR81" s="115">
        <f t="shared" si="20"/>
        <v>81407138</v>
      </c>
      <c r="AS81" s="115">
        <v>531794300</v>
      </c>
      <c r="AT81" s="116">
        <v>948236000</v>
      </c>
      <c r="AU81" s="115">
        <v>546457400</v>
      </c>
      <c r="AV81" s="115">
        <v>285936800</v>
      </c>
      <c r="AW81" s="115">
        <f t="shared" si="21"/>
        <v>115841800</v>
      </c>
      <c r="AX81" s="115">
        <v>272799600</v>
      </c>
      <c r="AY81" s="115">
        <v>141448700</v>
      </c>
      <c r="AZ81" s="272" t="s">
        <v>185</v>
      </c>
      <c r="BA81" s="115">
        <v>2632004381</v>
      </c>
      <c r="BB81" s="115">
        <v>1164546748</v>
      </c>
      <c r="BC81" s="115">
        <v>1238434102</v>
      </c>
      <c r="BD81" s="115">
        <v>229023531</v>
      </c>
      <c r="BE81" s="274" t="s">
        <v>238</v>
      </c>
      <c r="BF81" s="115">
        <v>93621529</v>
      </c>
      <c r="BG81" s="272" t="s">
        <v>185</v>
      </c>
      <c r="BH81" s="272">
        <v>300</v>
      </c>
      <c r="BI81" s="110"/>
    </row>
    <row r="82" spans="1:61" ht="15" customHeight="1">
      <c r="A82" s="109">
        <v>2006</v>
      </c>
      <c r="B82" s="274" t="s">
        <v>236</v>
      </c>
      <c r="C82" s="274" t="s">
        <v>237</v>
      </c>
      <c r="D82" s="115">
        <v>309.5</v>
      </c>
      <c r="E82" s="274">
        <v>2</v>
      </c>
      <c r="F82" s="109">
        <v>857</v>
      </c>
      <c r="G82" s="274" t="s">
        <v>186</v>
      </c>
      <c r="H82" s="274" t="s">
        <v>187</v>
      </c>
      <c r="I82" s="115">
        <v>233.741</v>
      </c>
      <c r="J82" s="115">
        <v>213.278</v>
      </c>
      <c r="K82" s="110">
        <v>20.463</v>
      </c>
      <c r="L82" s="110">
        <v>8.9</v>
      </c>
      <c r="M82" s="110">
        <v>4.9</v>
      </c>
      <c r="N82" s="272"/>
      <c r="O82" s="112">
        <v>50.3</v>
      </c>
      <c r="P82" s="112">
        <v>6.81</v>
      </c>
      <c r="Q82" s="112">
        <v>50.3</v>
      </c>
      <c r="R82" s="112">
        <v>19.58</v>
      </c>
      <c r="S82" s="112">
        <v>19.19</v>
      </c>
      <c r="T82" s="112">
        <v>0.39</v>
      </c>
      <c r="U82" s="112">
        <v>28.9315</v>
      </c>
      <c r="V82" s="112">
        <v>1.79</v>
      </c>
      <c r="W82" s="272" t="s">
        <v>185</v>
      </c>
      <c r="X82" s="115">
        <v>296</v>
      </c>
      <c r="Y82" s="115">
        <v>205.377</v>
      </c>
      <c r="Z82" s="110">
        <v>5.6</v>
      </c>
      <c r="AA82" s="117">
        <v>370.49</v>
      </c>
      <c r="AB82" s="117">
        <v>4892</v>
      </c>
      <c r="AC82" s="112">
        <v>23.16</v>
      </c>
      <c r="AD82" s="112">
        <v>17.08</v>
      </c>
      <c r="AE82" s="112">
        <f t="shared" si="17"/>
        <v>6.080000000000002</v>
      </c>
      <c r="AF82" s="112">
        <v>23.16</v>
      </c>
      <c r="AG82" s="112">
        <v>23.16</v>
      </c>
      <c r="AH82" s="115">
        <v>950689900</v>
      </c>
      <c r="AI82" s="115">
        <v>409033000</v>
      </c>
      <c r="AJ82" s="115">
        <f t="shared" si="18"/>
        <v>541656900</v>
      </c>
      <c r="AK82" s="115">
        <v>681826200</v>
      </c>
      <c r="AL82" s="115">
        <f t="shared" si="19"/>
        <v>268863700</v>
      </c>
      <c r="AM82" s="115">
        <v>233644900</v>
      </c>
      <c r="AN82" s="115">
        <v>425772300</v>
      </c>
      <c r="AO82" s="115">
        <v>22409000</v>
      </c>
      <c r="AP82" s="272" t="s">
        <v>185</v>
      </c>
      <c r="AQ82" s="115">
        <v>175388100</v>
      </c>
      <c r="AR82" s="115">
        <f t="shared" si="20"/>
        <v>93475600</v>
      </c>
      <c r="AS82" s="115">
        <v>549951540</v>
      </c>
      <c r="AT82" s="116">
        <v>976189500</v>
      </c>
      <c r="AU82" s="115">
        <v>587821100</v>
      </c>
      <c r="AV82" s="115">
        <v>265104300</v>
      </c>
      <c r="AW82" s="115">
        <f t="shared" si="21"/>
        <v>123264100</v>
      </c>
      <c r="AX82" s="115">
        <v>304214500</v>
      </c>
      <c r="AY82" s="115">
        <v>158825200</v>
      </c>
      <c r="AZ82" s="272" t="s">
        <v>185</v>
      </c>
      <c r="BA82" s="115">
        <v>2683449164</v>
      </c>
      <c r="BB82" s="115">
        <v>1216639244</v>
      </c>
      <c r="BC82" s="115">
        <v>1237340178</v>
      </c>
      <c r="BD82" s="115">
        <v>229469742</v>
      </c>
      <c r="BE82" s="274" t="s">
        <v>238</v>
      </c>
      <c r="BF82" s="115">
        <v>102107004</v>
      </c>
      <c r="BG82" s="272" t="s">
        <v>185</v>
      </c>
      <c r="BH82" s="272">
        <v>300</v>
      </c>
      <c r="BI82" s="110"/>
    </row>
    <row r="83" spans="1:61" ht="15" customHeight="1">
      <c r="A83" s="109">
        <v>2007</v>
      </c>
      <c r="B83" s="274" t="s">
        <v>236</v>
      </c>
      <c r="C83" s="274" t="s">
        <v>237</v>
      </c>
      <c r="D83" s="115">
        <v>309.5</v>
      </c>
      <c r="E83" s="274">
        <v>2</v>
      </c>
      <c r="F83" s="109">
        <v>805</v>
      </c>
      <c r="G83" s="274" t="s">
        <v>186</v>
      </c>
      <c r="H83" s="274" t="s">
        <v>187</v>
      </c>
      <c r="I83" s="115">
        <v>238.562</v>
      </c>
      <c r="J83" s="115">
        <v>219.54</v>
      </c>
      <c r="K83" s="110">
        <v>19.022</v>
      </c>
      <c r="L83" s="110">
        <v>9.2</v>
      </c>
      <c r="M83" s="110">
        <v>5</v>
      </c>
      <c r="N83" s="272"/>
      <c r="O83" s="112">
        <v>53.21</v>
      </c>
      <c r="P83" s="112">
        <v>7.8</v>
      </c>
      <c r="Q83" s="112">
        <f>O83</f>
        <v>53.21</v>
      </c>
      <c r="R83" s="112">
        <v>19.96</v>
      </c>
      <c r="S83" s="112">
        <v>19.59</v>
      </c>
      <c r="T83" s="112">
        <v>0.37</v>
      </c>
      <c r="U83" s="112">
        <v>31.3846</v>
      </c>
      <c r="V83" s="112">
        <v>1.8663</v>
      </c>
      <c r="W83" s="272" t="s">
        <v>185</v>
      </c>
      <c r="X83" s="115">
        <v>352</v>
      </c>
      <c r="Y83" s="115">
        <v>209.652</v>
      </c>
      <c r="Z83" s="110">
        <v>5.9</v>
      </c>
      <c r="AA83" s="117">
        <v>370.49</v>
      </c>
      <c r="AB83" s="117">
        <v>6531</v>
      </c>
      <c r="AC83" s="112">
        <v>23.68</v>
      </c>
      <c r="AD83" s="112">
        <v>17.17</v>
      </c>
      <c r="AE83" s="112">
        <f t="shared" si="17"/>
        <v>6.509999999999998</v>
      </c>
      <c r="AF83" s="112">
        <v>23.68</v>
      </c>
      <c r="AG83" s="112">
        <v>23.68</v>
      </c>
      <c r="AH83" s="115">
        <v>1064361600</v>
      </c>
      <c r="AI83" s="115">
        <f>251017900+11596700+196117400</f>
        <v>458732000</v>
      </c>
      <c r="AJ83" s="115">
        <f t="shared" si="18"/>
        <v>605629600</v>
      </c>
      <c r="AK83" s="115">
        <v>756781000</v>
      </c>
      <c r="AL83" s="115">
        <f t="shared" si="19"/>
        <v>307580600</v>
      </c>
      <c r="AM83" s="115">
        <f>251017900+11596700</f>
        <v>262614600</v>
      </c>
      <c r="AN83" s="115">
        <v>471696100</v>
      </c>
      <c r="AO83" s="115">
        <v>22470300</v>
      </c>
      <c r="AP83" s="272" t="s">
        <v>185</v>
      </c>
      <c r="AQ83" s="115">
        <v>196117400</v>
      </c>
      <c r="AR83" s="115">
        <f t="shared" si="20"/>
        <v>111463200</v>
      </c>
      <c r="AS83" s="115">
        <v>549117980</v>
      </c>
      <c r="AT83" s="116">
        <v>1083397400</v>
      </c>
      <c r="AU83" s="115">
        <v>643788100</v>
      </c>
      <c r="AV83" s="115">
        <v>307567600</v>
      </c>
      <c r="AW83" s="115">
        <f t="shared" si="21"/>
        <v>132041700</v>
      </c>
      <c r="AX83" s="115">
        <v>322505400</v>
      </c>
      <c r="AY83" s="115">
        <v>222833000</v>
      </c>
      <c r="AZ83" s="272" t="s">
        <v>185</v>
      </c>
      <c r="BA83" s="115">
        <v>2773435598</v>
      </c>
      <c r="BB83" s="115">
        <v>1292827228</v>
      </c>
      <c r="BC83" s="115">
        <v>1254247352</v>
      </c>
      <c r="BD83" s="115">
        <v>226361018</v>
      </c>
      <c r="BE83" s="274" t="s">
        <v>238</v>
      </c>
      <c r="BF83" s="115">
        <v>150634213</v>
      </c>
      <c r="BG83" s="272" t="s">
        <v>185</v>
      </c>
      <c r="BH83" s="272">
        <v>300</v>
      </c>
      <c r="BI83" s="110"/>
    </row>
    <row r="84" spans="1:61" ht="15" customHeight="1">
      <c r="A84" s="109">
        <v>2008</v>
      </c>
      <c r="B84" s="274" t="s">
        <v>236</v>
      </c>
      <c r="C84" s="274" t="s">
        <v>237</v>
      </c>
      <c r="D84" s="115">
        <v>313.5</v>
      </c>
      <c r="E84" s="274">
        <v>2</v>
      </c>
      <c r="F84" s="109">
        <v>821</v>
      </c>
      <c r="G84" s="274" t="s">
        <v>186</v>
      </c>
      <c r="H84" s="274" t="s">
        <v>187</v>
      </c>
      <c r="I84" s="115">
        <f>204.796+30.817</f>
        <v>235.613</v>
      </c>
      <c r="J84" s="115">
        <v>219.107</v>
      </c>
      <c r="K84" s="110">
        <v>16.506</v>
      </c>
      <c r="L84" s="110">
        <v>9.3</v>
      </c>
      <c r="M84" s="110">
        <v>5.2</v>
      </c>
      <c r="N84" s="272"/>
      <c r="O84" s="112">
        <v>53.769</v>
      </c>
      <c r="P84" s="112">
        <v>11.74</v>
      </c>
      <c r="Q84" s="112">
        <v>53.54</v>
      </c>
      <c r="R84" s="112">
        <f>17.72+2.539</f>
        <v>20.259</v>
      </c>
      <c r="S84" s="112">
        <v>19.91</v>
      </c>
      <c r="T84" s="112">
        <v>0.35</v>
      </c>
      <c r="U84" s="112">
        <v>30.927</v>
      </c>
      <c r="V84" s="112">
        <v>2.352</v>
      </c>
      <c r="W84" s="272" t="s">
        <v>185</v>
      </c>
      <c r="X84" s="115">
        <f>386+5</f>
        <v>391</v>
      </c>
      <c r="Y84" s="115">
        <v>209</v>
      </c>
      <c r="Z84" s="110">
        <v>6.1</v>
      </c>
      <c r="AA84" s="117">
        <v>370.49</v>
      </c>
      <c r="AB84" s="117">
        <v>8682</v>
      </c>
      <c r="AC84" s="112">
        <v>23.971</v>
      </c>
      <c r="AD84" s="112">
        <v>16.936</v>
      </c>
      <c r="AE84" s="112">
        <f t="shared" si="17"/>
        <v>7.035</v>
      </c>
      <c r="AF84" s="112">
        <v>23.97</v>
      </c>
      <c r="AG84" s="112">
        <v>23.97</v>
      </c>
      <c r="AH84" s="115">
        <v>1176629400</v>
      </c>
      <c r="AI84" s="115">
        <f>273628297+210711600+13511381</f>
        <v>497851278</v>
      </c>
      <c r="AJ84" s="115">
        <f t="shared" si="18"/>
        <v>678778122</v>
      </c>
      <c r="AK84" s="115">
        <v>825229200</v>
      </c>
      <c r="AL84" s="115">
        <f>AH84-AK84</f>
        <v>351400200</v>
      </c>
      <c r="AM84" s="115">
        <f>273628297+13511381</f>
        <v>287139678</v>
      </c>
      <c r="AN84" s="115">
        <f>AL84-AM84-AO84</f>
        <v>38490260</v>
      </c>
      <c r="AO84" s="115">
        <v>25770262</v>
      </c>
      <c r="AP84" s="272" t="s">
        <v>185</v>
      </c>
      <c r="AQ84" s="115">
        <v>210711600</v>
      </c>
      <c r="AR84" s="115">
        <f>AL84-AQ84</f>
        <v>140688600</v>
      </c>
      <c r="AS84" s="115">
        <v>1282121300</v>
      </c>
      <c r="AT84" s="116">
        <v>1175770400</v>
      </c>
      <c r="AU84" s="115">
        <v>720049900</v>
      </c>
      <c r="AV84" s="115">
        <v>318194100</v>
      </c>
      <c r="AW84" s="115">
        <f>AT84-AU84-AV84</f>
        <v>137526400</v>
      </c>
      <c r="AX84" s="115">
        <v>325384600</v>
      </c>
      <c r="AY84" s="115">
        <v>243274600</v>
      </c>
      <c r="AZ84" s="272" t="s">
        <v>185</v>
      </c>
      <c r="BA84" s="115">
        <f>2829258486+516518</f>
        <v>2829775004</v>
      </c>
      <c r="BB84" s="115">
        <f>185366655+1143219046</f>
        <v>1328585701</v>
      </c>
      <c r="BC84" s="115">
        <f>654790540+626573099</f>
        <v>1281363639</v>
      </c>
      <c r="BD84" s="115">
        <f>BA84-BB84-BC84</f>
        <v>219825664</v>
      </c>
      <c r="BE84" s="274" t="s">
        <v>238</v>
      </c>
      <c r="BF84" s="115">
        <v>198103.6</v>
      </c>
      <c r="BG84" s="272" t="s">
        <v>185</v>
      </c>
      <c r="BH84" s="272">
        <v>300</v>
      </c>
      <c r="BI84" s="110"/>
    </row>
    <row r="85" spans="1:61" ht="15" customHeight="1">
      <c r="A85" s="132">
        <v>2009</v>
      </c>
      <c r="B85" s="274" t="s">
        <v>236</v>
      </c>
      <c r="C85" s="274" t="s">
        <v>237</v>
      </c>
      <c r="D85" s="120">
        <v>325.6</v>
      </c>
      <c r="E85" s="274">
        <v>2</v>
      </c>
      <c r="F85" s="132">
        <v>844</v>
      </c>
      <c r="G85" s="274" t="s">
        <v>186</v>
      </c>
      <c r="H85" s="274" t="s">
        <v>187</v>
      </c>
      <c r="I85" s="120">
        <v>238.813</v>
      </c>
      <c r="J85" s="120">
        <v>222.719</v>
      </c>
      <c r="K85" s="122">
        <v>16.094</v>
      </c>
      <c r="L85" s="122">
        <v>9.6</v>
      </c>
      <c r="M85" s="122">
        <v>5.6</v>
      </c>
      <c r="N85" s="272"/>
      <c r="O85" s="121">
        <v>48.66</v>
      </c>
      <c r="P85" s="121">
        <v>42.76</v>
      </c>
      <c r="Q85" s="121">
        <v>48.66</v>
      </c>
      <c r="R85" s="121">
        <v>18.66</v>
      </c>
      <c r="S85" s="121">
        <v>18.36</v>
      </c>
      <c r="T85" s="121">
        <v>0.3</v>
      </c>
      <c r="U85" s="121">
        <f>30-V85</f>
        <v>29.21</v>
      </c>
      <c r="V85" s="121">
        <v>0.79</v>
      </c>
      <c r="W85" s="272" t="s">
        <v>185</v>
      </c>
      <c r="X85" s="120">
        <v>293</v>
      </c>
      <c r="Y85" s="120">
        <v>210.85</v>
      </c>
      <c r="Z85" s="122">
        <v>6.3</v>
      </c>
      <c r="AA85" s="117">
        <v>371</v>
      </c>
      <c r="AB85" s="117">
        <v>6903</v>
      </c>
      <c r="AC85" s="121">
        <v>22.53</v>
      </c>
      <c r="AD85" s="121">
        <v>16.1</v>
      </c>
      <c r="AE85" s="121">
        <f t="shared" si="17"/>
        <v>6.43</v>
      </c>
      <c r="AF85" s="121">
        <v>22.53</v>
      </c>
      <c r="AG85" s="121">
        <v>22.53</v>
      </c>
      <c r="AH85" s="120">
        <v>1198270900</v>
      </c>
      <c r="AI85" s="120">
        <v>478960400</v>
      </c>
      <c r="AJ85" s="120">
        <f>AH85-AI85</f>
        <v>719310500</v>
      </c>
      <c r="AK85" s="120">
        <v>827302100</v>
      </c>
      <c r="AL85" s="120">
        <v>370968800</v>
      </c>
      <c r="AM85" s="120">
        <v>275832500</v>
      </c>
      <c r="AN85" s="120">
        <f>AK85-AM85-AO85</f>
        <v>455016900</v>
      </c>
      <c r="AO85" s="120">
        <v>96452700</v>
      </c>
      <c r="AP85" s="272" t="s">
        <v>185</v>
      </c>
      <c r="AQ85" s="120">
        <v>203127900</v>
      </c>
      <c r="AR85" s="120">
        <v>167840900</v>
      </c>
      <c r="AS85" s="120">
        <v>1282993800</v>
      </c>
      <c r="AT85" s="162">
        <v>1240182600</v>
      </c>
      <c r="AU85" s="120">
        <f>AT85-AV85-AW85</f>
        <v>744406300</v>
      </c>
      <c r="AV85" s="120">
        <v>349209800</v>
      </c>
      <c r="AW85" s="120">
        <v>146566500</v>
      </c>
      <c r="AX85" s="120">
        <v>377550400</v>
      </c>
      <c r="AY85" s="120">
        <v>275434700</v>
      </c>
      <c r="AZ85" s="272" t="s">
        <v>185</v>
      </c>
      <c r="BA85" s="120">
        <v>2892623197</v>
      </c>
      <c r="BB85" s="120">
        <v>1072374732</v>
      </c>
      <c r="BC85" s="120">
        <v>1421455889</v>
      </c>
      <c r="BD85" s="120">
        <v>400792577</v>
      </c>
      <c r="BE85" s="274"/>
      <c r="BF85" s="120">
        <v>257164700</v>
      </c>
      <c r="BG85" s="272" t="s">
        <v>185</v>
      </c>
      <c r="BH85" s="272">
        <v>300</v>
      </c>
      <c r="BI85" s="122">
        <v>63.552</v>
      </c>
    </row>
    <row r="86" spans="1:61" ht="15" customHeight="1">
      <c r="A86" s="109">
        <v>2010</v>
      </c>
      <c r="B86" s="275" t="s">
        <v>236</v>
      </c>
      <c r="C86" s="275" t="s">
        <v>237</v>
      </c>
      <c r="D86" s="115">
        <v>329.1</v>
      </c>
      <c r="E86" s="275">
        <v>2</v>
      </c>
      <c r="F86" s="109">
        <v>838</v>
      </c>
      <c r="G86" s="275" t="s">
        <v>186</v>
      </c>
      <c r="H86" s="275" t="s">
        <v>187</v>
      </c>
      <c r="I86" s="115">
        <v>242.08</v>
      </c>
      <c r="J86" s="115">
        <v>224.926</v>
      </c>
      <c r="K86" s="110">
        <v>17.154</v>
      </c>
      <c r="L86" s="110">
        <v>10</v>
      </c>
      <c r="M86" s="110">
        <v>5.9</v>
      </c>
      <c r="N86" s="273"/>
      <c r="O86" s="112">
        <v>50.33</v>
      </c>
      <c r="P86" s="112">
        <v>44.17</v>
      </c>
      <c r="Q86" s="112">
        <v>50.33</v>
      </c>
      <c r="R86" s="112">
        <v>18.51</v>
      </c>
      <c r="S86" s="112">
        <v>18.22</v>
      </c>
      <c r="T86" s="112">
        <v>0.29</v>
      </c>
      <c r="U86" s="112">
        <v>31.1</v>
      </c>
      <c r="V86" s="112">
        <v>0.72</v>
      </c>
      <c r="W86" s="273" t="s">
        <v>185</v>
      </c>
      <c r="X86" s="115">
        <v>622</v>
      </c>
      <c r="Y86" s="115">
        <v>212.43</v>
      </c>
      <c r="Z86" s="110">
        <v>6.5</v>
      </c>
      <c r="AA86" s="114">
        <v>371</v>
      </c>
      <c r="AB86" s="114">
        <v>7282</v>
      </c>
      <c r="AC86" s="112">
        <v>22.46</v>
      </c>
      <c r="AD86" s="112">
        <v>15.83</v>
      </c>
      <c r="AE86" s="112">
        <f t="shared" si="17"/>
        <v>6.630000000000001</v>
      </c>
      <c r="AF86" s="112">
        <v>22.46</v>
      </c>
      <c r="AG86" s="112">
        <v>22.46</v>
      </c>
      <c r="AH86" s="115">
        <v>1391166300</v>
      </c>
      <c r="AI86" s="115">
        <v>509488600</v>
      </c>
      <c r="AJ86" s="115">
        <f>AH86-AI86</f>
        <v>881677700</v>
      </c>
      <c r="AK86" s="115">
        <v>950614600</v>
      </c>
      <c r="AL86" s="115">
        <v>440551700</v>
      </c>
      <c r="AM86" s="115">
        <v>295056700</v>
      </c>
      <c r="AN86" s="115">
        <f>AK86-AM86-AO86</f>
        <v>532668100</v>
      </c>
      <c r="AO86" s="115">
        <v>122889800</v>
      </c>
      <c r="AP86" s="273" t="s">
        <v>185</v>
      </c>
      <c r="AQ86" s="115">
        <v>214431900</v>
      </c>
      <c r="AR86" s="115">
        <v>226119800</v>
      </c>
      <c r="AS86" s="115">
        <v>1512761300</v>
      </c>
      <c r="AT86" s="116">
        <v>1409639400</v>
      </c>
      <c r="AU86" s="115">
        <f>AT86-AV86-AW86</f>
        <v>850567000</v>
      </c>
      <c r="AV86" s="115">
        <v>406341700</v>
      </c>
      <c r="AW86" s="115">
        <v>152730700</v>
      </c>
      <c r="AX86" s="115">
        <v>417644300</v>
      </c>
      <c r="AY86" s="115">
        <v>358676000</v>
      </c>
      <c r="AZ86" s="273" t="s">
        <v>185</v>
      </c>
      <c r="BA86" s="115">
        <v>2951449206</v>
      </c>
      <c r="BB86" s="115">
        <v>1100270978</v>
      </c>
      <c r="BC86" s="115">
        <v>1433283342</v>
      </c>
      <c r="BD86" s="115">
        <v>417894886</v>
      </c>
      <c r="BE86" s="275"/>
      <c r="BF86" s="115">
        <v>302509700</v>
      </c>
      <c r="BG86" s="273" t="s">
        <v>185</v>
      </c>
      <c r="BH86" s="273">
        <v>300</v>
      </c>
      <c r="BI86" s="110">
        <v>65.159</v>
      </c>
    </row>
    <row r="87" spans="1:60" s="74" customFormat="1" ht="6" customHeight="1">
      <c r="A87" s="76"/>
      <c r="B87" s="81"/>
      <c r="C87" s="81"/>
      <c r="D87" s="75"/>
      <c r="E87" s="78"/>
      <c r="H87" s="82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4"/>
      <c r="U87" s="83"/>
      <c r="V87" s="83"/>
      <c r="W87" s="83"/>
      <c r="X87" s="78"/>
      <c r="Y87" s="83"/>
      <c r="Z87" s="83"/>
      <c r="AA87" s="83"/>
      <c r="AB87" s="78"/>
      <c r="AC87" s="83"/>
      <c r="AD87" s="83"/>
      <c r="AE87" s="83"/>
      <c r="AF87" s="83"/>
      <c r="AG87" s="83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85"/>
    </row>
    <row r="88" spans="1:61" ht="15" customHeight="1">
      <c r="A88" s="132">
        <v>2005</v>
      </c>
      <c r="B88" s="263" t="s">
        <v>239</v>
      </c>
      <c r="C88" s="263" t="s">
        <v>240</v>
      </c>
      <c r="D88" s="120">
        <v>227.4</v>
      </c>
      <c r="E88" s="257">
        <v>1</v>
      </c>
      <c r="F88" s="109">
        <v>739</v>
      </c>
      <c r="G88" s="269" t="s">
        <v>186</v>
      </c>
      <c r="H88" s="269" t="s">
        <v>187</v>
      </c>
      <c r="I88" s="115">
        <v>162.87</v>
      </c>
      <c r="J88" s="115">
        <v>146.89</v>
      </c>
      <c r="K88" s="110">
        <v>15.98</v>
      </c>
      <c r="L88" s="110">
        <v>1.167</v>
      </c>
      <c r="M88" s="110">
        <v>1.167</v>
      </c>
      <c r="N88" s="115">
        <v>344</v>
      </c>
      <c r="O88" s="112">
        <v>16.45</v>
      </c>
      <c r="P88" s="112">
        <v>15.7</v>
      </c>
      <c r="Q88" s="112">
        <v>10.45</v>
      </c>
      <c r="R88" s="112">
        <v>8.21</v>
      </c>
      <c r="S88" s="112">
        <v>8.02</v>
      </c>
      <c r="T88" s="112">
        <v>0.19</v>
      </c>
      <c r="U88" s="112">
        <v>1.35</v>
      </c>
      <c r="V88" s="112">
        <v>0.89</v>
      </c>
      <c r="W88" s="266" t="s">
        <v>185</v>
      </c>
      <c r="X88" s="115">
        <v>133</v>
      </c>
      <c r="Y88" s="115">
        <v>162.77</v>
      </c>
      <c r="Z88" s="187">
        <v>0.405</v>
      </c>
      <c r="AA88" s="117">
        <v>306</v>
      </c>
      <c r="AB88" s="117">
        <v>2426</v>
      </c>
      <c r="AC88" s="112">
        <v>9.53</v>
      </c>
      <c r="AD88" s="112">
        <v>7.38</v>
      </c>
      <c r="AE88" s="112">
        <v>2.15</v>
      </c>
      <c r="AF88" s="112">
        <v>9.53</v>
      </c>
      <c r="AG88" s="266" t="s">
        <v>241</v>
      </c>
      <c r="AH88" s="115">
        <v>366158800</v>
      </c>
      <c r="AI88" s="115">
        <v>184440700</v>
      </c>
      <c r="AJ88" s="115">
        <v>181718100</v>
      </c>
      <c r="AK88" s="115">
        <v>209771900</v>
      </c>
      <c r="AL88" s="115">
        <v>156386900</v>
      </c>
      <c r="AM88" s="115">
        <v>99663300</v>
      </c>
      <c r="AN88" s="115">
        <v>66488400</v>
      </c>
      <c r="AO88" s="115">
        <v>43620200</v>
      </c>
      <c r="AP88" s="251">
        <v>0</v>
      </c>
      <c r="AQ88" s="115">
        <v>84777400</v>
      </c>
      <c r="AR88" s="115">
        <v>71609500</v>
      </c>
      <c r="AS88" s="115">
        <v>434183800</v>
      </c>
      <c r="AT88" s="116">
        <v>450797000</v>
      </c>
      <c r="AU88" s="115">
        <v>201923500</v>
      </c>
      <c r="AV88" s="115">
        <v>137479400</v>
      </c>
      <c r="AW88" s="115">
        <v>111394100</v>
      </c>
      <c r="AX88" s="115">
        <v>192816700</v>
      </c>
      <c r="AY88" s="115">
        <v>83088000</v>
      </c>
      <c r="AZ88" s="251" t="s">
        <v>185</v>
      </c>
      <c r="BA88" s="115">
        <v>607829639</v>
      </c>
      <c r="BB88" s="115">
        <v>245949218</v>
      </c>
      <c r="BC88" s="115">
        <v>277788823</v>
      </c>
      <c r="BD88" s="115">
        <v>84091598</v>
      </c>
      <c r="BE88" s="251" t="s">
        <v>185</v>
      </c>
      <c r="BF88" s="115">
        <v>41600000</v>
      </c>
      <c r="BG88" s="257" t="s">
        <v>185</v>
      </c>
      <c r="BH88" s="251">
        <v>270</v>
      </c>
      <c r="BI88" s="109"/>
    </row>
    <row r="89" spans="1:61" ht="15" customHeight="1">
      <c r="A89" s="132">
        <v>2006</v>
      </c>
      <c r="B89" s="264" t="s">
        <v>239</v>
      </c>
      <c r="C89" s="264" t="s">
        <v>240</v>
      </c>
      <c r="D89" s="120">
        <v>232.1</v>
      </c>
      <c r="E89" s="258"/>
      <c r="F89" s="109">
        <v>751</v>
      </c>
      <c r="G89" s="270" t="s">
        <v>186</v>
      </c>
      <c r="H89" s="270" t="s">
        <v>187</v>
      </c>
      <c r="I89" s="115">
        <v>166.98</v>
      </c>
      <c r="J89" s="115">
        <v>151.45</v>
      </c>
      <c r="K89" s="110">
        <v>15.53</v>
      </c>
      <c r="L89" s="110">
        <v>2.079</v>
      </c>
      <c r="M89" s="110">
        <v>2.079</v>
      </c>
      <c r="N89" s="115">
        <v>352.03</v>
      </c>
      <c r="O89" s="112">
        <v>17.04</v>
      </c>
      <c r="P89" s="112">
        <v>16.28</v>
      </c>
      <c r="Q89" s="112">
        <v>10.54</v>
      </c>
      <c r="R89" s="112">
        <v>8.2</v>
      </c>
      <c r="S89" s="112">
        <v>8.02</v>
      </c>
      <c r="T89" s="112">
        <v>0.18</v>
      </c>
      <c r="U89" s="112">
        <v>1.48</v>
      </c>
      <c r="V89" s="112">
        <v>0.86</v>
      </c>
      <c r="W89" s="267"/>
      <c r="X89" s="115">
        <v>175</v>
      </c>
      <c r="Y89" s="115">
        <v>166.88</v>
      </c>
      <c r="Z89" s="187">
        <v>0.627</v>
      </c>
      <c r="AA89" s="117">
        <v>310.4</v>
      </c>
      <c r="AB89" s="117">
        <v>4600</v>
      </c>
      <c r="AC89" s="112">
        <v>9.7</v>
      </c>
      <c r="AD89" s="112">
        <v>7.4</v>
      </c>
      <c r="AE89" s="112">
        <v>2.3</v>
      </c>
      <c r="AF89" s="112">
        <v>9.7</v>
      </c>
      <c r="AG89" s="267"/>
      <c r="AH89" s="115">
        <v>483622000</v>
      </c>
      <c r="AI89" s="115">
        <v>206514700</v>
      </c>
      <c r="AJ89" s="115">
        <v>277107300</v>
      </c>
      <c r="AK89" s="115">
        <v>275774900</v>
      </c>
      <c r="AL89" s="115">
        <v>207847100</v>
      </c>
      <c r="AM89" s="115">
        <v>111466200</v>
      </c>
      <c r="AN89" s="115">
        <v>103714600</v>
      </c>
      <c r="AO89" s="115">
        <v>60594100</v>
      </c>
      <c r="AP89" s="252">
        <v>0</v>
      </c>
      <c r="AQ89" s="115">
        <v>95048500</v>
      </c>
      <c r="AR89" s="115">
        <v>112798600</v>
      </c>
      <c r="AS89" s="115">
        <v>541238100</v>
      </c>
      <c r="AT89" s="116">
        <v>534220000</v>
      </c>
      <c r="AU89" s="115">
        <v>250699000</v>
      </c>
      <c r="AV89" s="115">
        <v>188317600</v>
      </c>
      <c r="AW89" s="115">
        <v>95203400</v>
      </c>
      <c r="AX89" s="115">
        <v>232418400</v>
      </c>
      <c r="AY89" s="115">
        <v>89796100</v>
      </c>
      <c r="AZ89" s="252" t="s">
        <v>185</v>
      </c>
      <c r="BA89" s="115">
        <v>636408420</v>
      </c>
      <c r="BB89" s="115">
        <v>248290533</v>
      </c>
      <c r="BC89" s="115">
        <v>304650075</v>
      </c>
      <c r="BD89" s="115">
        <v>83467812</v>
      </c>
      <c r="BE89" s="252" t="s">
        <v>185</v>
      </c>
      <c r="BF89" s="115">
        <v>34500000</v>
      </c>
      <c r="BG89" s="258"/>
      <c r="BH89" s="252">
        <v>270</v>
      </c>
      <c r="BI89" s="109"/>
    </row>
    <row r="90" spans="1:61" ht="15" customHeight="1">
      <c r="A90" s="132">
        <v>2007</v>
      </c>
      <c r="B90" s="264" t="s">
        <v>239</v>
      </c>
      <c r="C90" s="264" t="s">
        <v>240</v>
      </c>
      <c r="D90" s="120">
        <v>236.1</v>
      </c>
      <c r="E90" s="258"/>
      <c r="F90" s="109">
        <v>750</v>
      </c>
      <c r="G90" s="270" t="s">
        <v>186</v>
      </c>
      <c r="H90" s="270" t="s">
        <v>187</v>
      </c>
      <c r="I90" s="115">
        <v>174.57</v>
      </c>
      <c r="J90" s="115">
        <v>160.27</v>
      </c>
      <c r="K90" s="110">
        <v>14.3</v>
      </c>
      <c r="L90" s="110">
        <v>3.356</v>
      </c>
      <c r="M90" s="110">
        <v>3.356</v>
      </c>
      <c r="N90" s="115">
        <v>352.03</v>
      </c>
      <c r="O90" s="112">
        <v>16.97</v>
      </c>
      <c r="P90" s="112">
        <v>16.2</v>
      </c>
      <c r="Q90" s="112">
        <v>10.69</v>
      </c>
      <c r="R90" s="112">
        <v>8.29</v>
      </c>
      <c r="S90" s="112">
        <v>8.12</v>
      </c>
      <c r="T90" s="112">
        <v>0.17</v>
      </c>
      <c r="U90" s="112">
        <v>1.53</v>
      </c>
      <c r="V90" s="112">
        <v>0.87</v>
      </c>
      <c r="W90" s="267"/>
      <c r="X90" s="115">
        <v>150</v>
      </c>
      <c r="Y90" s="115">
        <v>174.47</v>
      </c>
      <c r="Z90" s="187">
        <v>0.714</v>
      </c>
      <c r="AA90" s="117">
        <v>310.4</v>
      </c>
      <c r="AB90" s="117">
        <v>3130</v>
      </c>
      <c r="AC90" s="112">
        <v>9.8</v>
      </c>
      <c r="AD90" s="112">
        <v>7.43</v>
      </c>
      <c r="AE90" s="112">
        <v>2.37</v>
      </c>
      <c r="AF90" s="112">
        <v>9.8</v>
      </c>
      <c r="AG90" s="267"/>
      <c r="AH90" s="115">
        <v>549195300</v>
      </c>
      <c r="AI90" s="115">
        <v>219178850</v>
      </c>
      <c r="AJ90" s="115">
        <v>330016220</v>
      </c>
      <c r="AK90" s="115">
        <v>311320470</v>
      </c>
      <c r="AL90" s="115">
        <v>237874600</v>
      </c>
      <c r="AM90" s="115">
        <v>118748870</v>
      </c>
      <c r="AN90" s="115">
        <v>122871760</v>
      </c>
      <c r="AO90" s="115">
        <v>69699840</v>
      </c>
      <c r="AP90" s="252">
        <v>0</v>
      </c>
      <c r="AQ90" s="115">
        <v>100429980</v>
      </c>
      <c r="AR90" s="115">
        <v>137444620</v>
      </c>
      <c r="AS90" s="115">
        <v>632872700</v>
      </c>
      <c r="AT90" s="116">
        <v>574470000</v>
      </c>
      <c r="AU90" s="115">
        <v>266246700</v>
      </c>
      <c r="AV90" s="115">
        <v>201078200</v>
      </c>
      <c r="AW90" s="115">
        <v>107145100</v>
      </c>
      <c r="AX90" s="115">
        <v>253101200</v>
      </c>
      <c r="AY90" s="115">
        <v>99554200</v>
      </c>
      <c r="AZ90" s="252" t="s">
        <v>185</v>
      </c>
      <c r="BA90" s="115">
        <v>681283203</v>
      </c>
      <c r="BB90" s="115">
        <v>247479351</v>
      </c>
      <c r="BC90" s="115">
        <v>339971883</v>
      </c>
      <c r="BD90" s="115">
        <v>93831969</v>
      </c>
      <c r="BE90" s="252" t="s">
        <v>185</v>
      </c>
      <c r="BF90" s="115">
        <v>47300000</v>
      </c>
      <c r="BG90" s="258"/>
      <c r="BH90" s="252">
        <v>270</v>
      </c>
      <c r="BI90" s="109"/>
    </row>
    <row r="91" spans="1:61" ht="15" customHeight="1">
      <c r="A91" s="132">
        <v>2008</v>
      </c>
      <c r="B91" s="264" t="s">
        <v>239</v>
      </c>
      <c r="C91" s="264" t="s">
        <v>240</v>
      </c>
      <c r="D91" s="120">
        <v>240.5</v>
      </c>
      <c r="E91" s="258"/>
      <c r="F91" s="109">
        <v>770</v>
      </c>
      <c r="G91" s="270" t="s">
        <v>186</v>
      </c>
      <c r="H91" s="270" t="s">
        <v>187</v>
      </c>
      <c r="I91" s="115">
        <v>194.1</v>
      </c>
      <c r="J91" s="115">
        <v>179</v>
      </c>
      <c r="K91" s="110">
        <v>15.1</v>
      </c>
      <c r="L91" s="110">
        <v>4.633</v>
      </c>
      <c r="M91" s="110">
        <v>4.633</v>
      </c>
      <c r="N91" s="115">
        <v>352.03</v>
      </c>
      <c r="O91" s="112">
        <v>17.8</v>
      </c>
      <c r="P91" s="112">
        <v>16.92</v>
      </c>
      <c r="Q91" s="112">
        <v>10.85</v>
      </c>
      <c r="R91" s="112">
        <v>8.5</v>
      </c>
      <c r="S91" s="112">
        <v>8.4</v>
      </c>
      <c r="T91" s="112">
        <v>0.09</v>
      </c>
      <c r="U91" s="112">
        <v>1.49</v>
      </c>
      <c r="V91" s="112">
        <v>0.86</v>
      </c>
      <c r="W91" s="267"/>
      <c r="X91" s="115">
        <v>120</v>
      </c>
      <c r="Y91" s="115">
        <v>184.7</v>
      </c>
      <c r="Z91" s="187">
        <v>0.801</v>
      </c>
      <c r="AA91" s="117">
        <v>310.4</v>
      </c>
      <c r="AB91" s="117">
        <v>4156</v>
      </c>
      <c r="AC91" s="112">
        <v>9.73</v>
      </c>
      <c r="AD91" s="112">
        <v>7.37</v>
      </c>
      <c r="AE91" s="112">
        <v>2.36</v>
      </c>
      <c r="AF91" s="112">
        <v>9.73</v>
      </c>
      <c r="AG91" s="267"/>
      <c r="AH91" s="115">
        <v>547049970</v>
      </c>
      <c r="AI91" s="115">
        <v>221295080</v>
      </c>
      <c r="AJ91" s="115">
        <v>325754890</v>
      </c>
      <c r="AK91" s="115">
        <v>310790990</v>
      </c>
      <c r="AL91" s="115">
        <v>236258980</v>
      </c>
      <c r="AM91" s="115">
        <v>121639850</v>
      </c>
      <c r="AN91" s="115">
        <v>119989390</v>
      </c>
      <c r="AO91" s="115">
        <v>69161750</v>
      </c>
      <c r="AP91" s="252">
        <v>0</v>
      </c>
      <c r="AQ91" s="115">
        <v>99655230</v>
      </c>
      <c r="AR91" s="115">
        <v>136603750</v>
      </c>
      <c r="AS91" s="115">
        <v>632739800</v>
      </c>
      <c r="AT91" s="116">
        <v>665441460</v>
      </c>
      <c r="AU91" s="115">
        <v>311731500</v>
      </c>
      <c r="AV91" s="115">
        <v>246339400</v>
      </c>
      <c r="AW91" s="115">
        <v>107370560</v>
      </c>
      <c r="AX91" s="115">
        <v>309881500</v>
      </c>
      <c r="AY91" s="115">
        <v>135239800</v>
      </c>
      <c r="AZ91" s="252" t="s">
        <v>185</v>
      </c>
      <c r="BA91" s="115">
        <v>783424645</v>
      </c>
      <c r="BB91" s="115">
        <v>248039190</v>
      </c>
      <c r="BC91" s="115">
        <v>323314377</v>
      </c>
      <c r="BD91" s="115">
        <v>212071078</v>
      </c>
      <c r="BE91" s="252" t="s">
        <v>185</v>
      </c>
      <c r="BF91" s="115">
        <v>48860000</v>
      </c>
      <c r="BG91" s="258"/>
      <c r="BH91" s="252">
        <v>270</v>
      </c>
      <c r="BI91" s="109"/>
    </row>
    <row r="92" spans="1:61" ht="15" customHeight="1">
      <c r="A92" s="132">
        <v>2009</v>
      </c>
      <c r="B92" s="264" t="s">
        <v>239</v>
      </c>
      <c r="C92" s="264" t="s">
        <v>240</v>
      </c>
      <c r="D92" s="120">
        <v>276.3</v>
      </c>
      <c r="E92" s="258"/>
      <c r="F92" s="109">
        <v>813</v>
      </c>
      <c r="G92" s="270" t="s">
        <v>186</v>
      </c>
      <c r="H92" s="270" t="s">
        <v>187</v>
      </c>
      <c r="I92" s="115">
        <v>214.95</v>
      </c>
      <c r="J92" s="115">
        <v>200.65</v>
      </c>
      <c r="K92" s="110">
        <v>15.2</v>
      </c>
      <c r="L92" s="110">
        <v>5.743</v>
      </c>
      <c r="M92" s="110">
        <v>5.743</v>
      </c>
      <c r="N92" s="115">
        <v>352.4</v>
      </c>
      <c r="O92" s="112">
        <v>17.5</v>
      </c>
      <c r="P92" s="112">
        <v>16.65</v>
      </c>
      <c r="Q92" s="112">
        <v>11.3</v>
      </c>
      <c r="R92" s="112">
        <v>8.96</v>
      </c>
      <c r="S92" s="112">
        <v>8.75</v>
      </c>
      <c r="T92" s="112">
        <v>0.21</v>
      </c>
      <c r="U92" s="112">
        <v>1.47</v>
      </c>
      <c r="V92" s="112">
        <v>0.86</v>
      </c>
      <c r="W92" s="267"/>
      <c r="X92" s="115">
        <v>167</v>
      </c>
      <c r="Y92" s="115">
        <v>184.75</v>
      </c>
      <c r="Z92" s="187">
        <v>0.82</v>
      </c>
      <c r="AA92" s="117">
        <v>310.4</v>
      </c>
      <c r="AB92" s="117">
        <v>5380</v>
      </c>
      <c r="AC92" s="112">
        <v>9.82</v>
      </c>
      <c r="AD92" s="112">
        <v>7.51</v>
      </c>
      <c r="AE92" s="112">
        <v>2.31</v>
      </c>
      <c r="AF92" s="112">
        <v>9.82</v>
      </c>
      <c r="AG92" s="267"/>
      <c r="AH92" s="115">
        <v>567353350</v>
      </c>
      <c r="AI92" s="115">
        <v>236574910</v>
      </c>
      <c r="AJ92" s="115">
        <v>330778440</v>
      </c>
      <c r="AK92" s="115">
        <v>326239140</v>
      </c>
      <c r="AL92" s="115">
        <v>241114210</v>
      </c>
      <c r="AM92" s="115">
        <v>132640450</v>
      </c>
      <c r="AN92" s="115">
        <v>122164820</v>
      </c>
      <c r="AO92" s="115">
        <v>71433870</v>
      </c>
      <c r="AP92" s="252">
        <v>0</v>
      </c>
      <c r="AQ92" s="115">
        <v>103934460</v>
      </c>
      <c r="AR92" s="115">
        <v>137179750</v>
      </c>
      <c r="AS92" s="115">
        <v>630620936</v>
      </c>
      <c r="AT92" s="116">
        <v>777914383</v>
      </c>
      <c r="AU92" s="115">
        <v>364301700</v>
      </c>
      <c r="AV92" s="115">
        <v>288120900</v>
      </c>
      <c r="AW92" s="115">
        <v>125491783</v>
      </c>
      <c r="AX92" s="115">
        <v>376385800</v>
      </c>
      <c r="AY92" s="115">
        <v>159535800</v>
      </c>
      <c r="AZ92" s="252" t="s">
        <v>185</v>
      </c>
      <c r="BA92" s="115">
        <v>813315920</v>
      </c>
      <c r="BB92" s="115">
        <v>267559247</v>
      </c>
      <c r="BC92" s="115">
        <v>305414006</v>
      </c>
      <c r="BD92" s="115">
        <v>240342667</v>
      </c>
      <c r="BE92" s="252" t="s">
        <v>185</v>
      </c>
      <c r="BF92" s="115">
        <v>52700000</v>
      </c>
      <c r="BG92" s="258"/>
      <c r="BH92" s="252">
        <v>270</v>
      </c>
      <c r="BI92" s="109">
        <v>22.1</v>
      </c>
    </row>
    <row r="93" spans="1:61" ht="15" customHeight="1">
      <c r="A93" s="109">
        <v>2010</v>
      </c>
      <c r="B93" s="265" t="s">
        <v>239</v>
      </c>
      <c r="C93" s="265" t="s">
        <v>240</v>
      </c>
      <c r="D93" s="115">
        <v>283.4</v>
      </c>
      <c r="E93" s="259"/>
      <c r="F93" s="109">
        <v>831</v>
      </c>
      <c r="G93" s="271" t="s">
        <v>186</v>
      </c>
      <c r="H93" s="271" t="s">
        <v>187</v>
      </c>
      <c r="I93" s="115">
        <v>223.8</v>
      </c>
      <c r="J93" s="115">
        <v>208.7</v>
      </c>
      <c r="K93" s="110">
        <v>15.5</v>
      </c>
      <c r="L93" s="110">
        <v>6.863</v>
      </c>
      <c r="M93" s="110">
        <v>6.863</v>
      </c>
      <c r="N93" s="115">
        <v>352</v>
      </c>
      <c r="O93" s="112">
        <v>17.1</v>
      </c>
      <c r="P93" s="112">
        <v>16.35</v>
      </c>
      <c r="Q93" s="112">
        <v>11.3</v>
      </c>
      <c r="R93" s="112">
        <v>8.85</v>
      </c>
      <c r="S93" s="112">
        <v>8.64</v>
      </c>
      <c r="T93" s="112">
        <v>0.21</v>
      </c>
      <c r="U93" s="112">
        <v>1.6</v>
      </c>
      <c r="V93" s="112">
        <v>0.84</v>
      </c>
      <c r="W93" s="268"/>
      <c r="X93" s="115">
        <v>239</v>
      </c>
      <c r="Y93" s="115">
        <v>185.2</v>
      </c>
      <c r="Z93" s="187">
        <v>0.848</v>
      </c>
      <c r="AA93" s="114">
        <v>353</v>
      </c>
      <c r="AB93" s="114">
        <v>4019</v>
      </c>
      <c r="AC93" s="112">
        <v>9.83</v>
      </c>
      <c r="AD93" s="112">
        <v>7.3</v>
      </c>
      <c r="AE93" s="112">
        <v>2.53</v>
      </c>
      <c r="AF93" s="112">
        <v>9.82</v>
      </c>
      <c r="AG93" s="268"/>
      <c r="AH93" s="115">
        <v>669717280</v>
      </c>
      <c r="AI93" s="115">
        <v>254491520</v>
      </c>
      <c r="AJ93" s="115">
        <v>415225760</v>
      </c>
      <c r="AK93" s="115">
        <v>362769890</v>
      </c>
      <c r="AL93" s="115">
        <v>306947390</v>
      </c>
      <c r="AM93" s="115">
        <v>141855900</v>
      </c>
      <c r="AN93" s="115">
        <v>144854400</v>
      </c>
      <c r="AO93" s="115">
        <v>76059600</v>
      </c>
      <c r="AP93" s="253">
        <v>0</v>
      </c>
      <c r="AQ93" s="115">
        <v>112635620</v>
      </c>
      <c r="AR93" s="115">
        <v>194311770</v>
      </c>
      <c r="AS93" s="115">
        <v>740525108</v>
      </c>
      <c r="AT93" s="116">
        <v>1009182169</v>
      </c>
      <c r="AU93" s="115">
        <v>408847300</v>
      </c>
      <c r="AV93" s="115">
        <v>432228300</v>
      </c>
      <c r="AW93" s="115">
        <v>168106569</v>
      </c>
      <c r="AX93" s="115">
        <v>420308600</v>
      </c>
      <c r="AY93" s="115">
        <v>163739500</v>
      </c>
      <c r="AZ93" s="253" t="s">
        <v>185</v>
      </c>
      <c r="BA93" s="115">
        <v>3570455160</v>
      </c>
      <c r="BB93" s="115">
        <v>284135177</v>
      </c>
      <c r="BC93" s="115">
        <v>3069954470</v>
      </c>
      <c r="BD93" s="115">
        <v>216365513</v>
      </c>
      <c r="BE93" s="253" t="s">
        <v>185</v>
      </c>
      <c r="BF93" s="115">
        <v>57900000</v>
      </c>
      <c r="BG93" s="259"/>
      <c r="BH93" s="253">
        <v>270</v>
      </c>
      <c r="BI93" s="109">
        <v>21.2</v>
      </c>
    </row>
    <row r="94" spans="1:60" s="74" customFormat="1" ht="6" customHeight="1">
      <c r="A94" s="76"/>
      <c r="B94" s="81"/>
      <c r="C94" s="81"/>
      <c r="D94" s="75"/>
      <c r="E94" s="78"/>
      <c r="H94" s="82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4"/>
      <c r="U94" s="83"/>
      <c r="V94" s="83"/>
      <c r="W94" s="83"/>
      <c r="X94" s="78"/>
      <c r="Y94" s="83"/>
      <c r="Z94" s="83"/>
      <c r="AA94" s="83"/>
      <c r="AB94" s="78"/>
      <c r="AC94" s="83"/>
      <c r="AD94" s="83"/>
      <c r="AE94" s="83"/>
      <c r="AF94" s="83"/>
      <c r="AG94" s="83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85"/>
    </row>
    <row r="95" spans="1:61" ht="15" customHeight="1">
      <c r="A95" s="125">
        <v>2002</v>
      </c>
      <c r="B95" s="254" t="s">
        <v>242</v>
      </c>
      <c r="C95" s="254" t="s">
        <v>243</v>
      </c>
      <c r="D95" s="126">
        <v>208.9</v>
      </c>
      <c r="E95" s="233">
        <v>1</v>
      </c>
      <c r="F95" s="125">
        <v>1016</v>
      </c>
      <c r="G95" s="254" t="s">
        <v>186</v>
      </c>
      <c r="H95" s="254" t="s">
        <v>244</v>
      </c>
      <c r="I95" s="126">
        <v>208.9</v>
      </c>
      <c r="J95" s="126">
        <v>204.3</v>
      </c>
      <c r="K95" s="201">
        <v>6.9</v>
      </c>
      <c r="L95" s="201">
        <v>14.72</v>
      </c>
      <c r="M95" s="201">
        <v>2.81</v>
      </c>
      <c r="N95" s="126">
        <v>466.3</v>
      </c>
      <c r="O95" s="129">
        <v>55</v>
      </c>
      <c r="P95" s="129">
        <v>12.7</v>
      </c>
      <c r="Q95" s="129">
        <v>32</v>
      </c>
      <c r="R95" s="129">
        <v>16.8</v>
      </c>
      <c r="S95" s="129">
        <f>R95-T95</f>
        <v>16.79</v>
      </c>
      <c r="T95" s="129">
        <v>0.01</v>
      </c>
      <c r="U95" s="129">
        <f>Q95-R95-V95</f>
        <v>13.5</v>
      </c>
      <c r="V95" s="129">
        <v>1.7</v>
      </c>
      <c r="W95" s="260" t="s">
        <v>185</v>
      </c>
      <c r="X95" s="126">
        <v>423</v>
      </c>
      <c r="Y95" s="126">
        <v>185.7</v>
      </c>
      <c r="Z95" s="129">
        <v>1.47</v>
      </c>
      <c r="AA95" s="148">
        <v>399.1</v>
      </c>
      <c r="AB95" s="148">
        <v>2430</v>
      </c>
      <c r="AC95" s="201">
        <v>27.8</v>
      </c>
      <c r="AD95" s="129">
        <v>20</v>
      </c>
      <c r="AE95" s="129">
        <f>AC95-AD95</f>
        <v>7.800000000000001</v>
      </c>
      <c r="AF95" s="129">
        <v>27.8</v>
      </c>
      <c r="AG95" s="129">
        <v>20</v>
      </c>
      <c r="AH95" s="126">
        <v>621083600</v>
      </c>
      <c r="AI95" s="126">
        <v>330832000</v>
      </c>
      <c r="AJ95" s="126">
        <f aca="true" t="shared" si="22" ref="AJ95:AJ100">AH95-AI95</f>
        <v>290251600</v>
      </c>
      <c r="AK95" s="126">
        <v>322188000</v>
      </c>
      <c r="AL95" s="126">
        <f aca="true" t="shared" si="23" ref="AL95:AL100">AH95-AK95</f>
        <v>298895600</v>
      </c>
      <c r="AM95" s="126">
        <v>154765200</v>
      </c>
      <c r="AN95" s="126">
        <v>151166800</v>
      </c>
      <c r="AO95" s="126">
        <f>AK95-AM95-AN95</f>
        <v>16256000</v>
      </c>
      <c r="AP95" s="248" t="s">
        <v>185</v>
      </c>
      <c r="AQ95" s="126">
        <v>176067600</v>
      </c>
      <c r="AR95" s="126">
        <f>AL95-AQ95</f>
        <v>122828000</v>
      </c>
      <c r="AS95" s="126">
        <v>627293830</v>
      </c>
      <c r="AT95" s="202">
        <v>568828000</v>
      </c>
      <c r="AU95" s="126">
        <v>280624000</v>
      </c>
      <c r="AV95" s="126">
        <v>288204000</v>
      </c>
      <c r="AW95" s="126"/>
      <c r="AX95" s="126">
        <v>240494000</v>
      </c>
      <c r="AY95" s="126">
        <v>117114000</v>
      </c>
      <c r="AZ95" s="248" t="s">
        <v>185</v>
      </c>
      <c r="BA95" s="126">
        <v>1093969768</v>
      </c>
      <c r="BB95" s="126">
        <v>408707105</v>
      </c>
      <c r="BC95" s="126">
        <v>557815185</v>
      </c>
      <c r="BD95" s="126">
        <v>127447478</v>
      </c>
      <c r="BE95" s="248" t="s">
        <v>185</v>
      </c>
      <c r="BF95" s="126">
        <v>46258366</v>
      </c>
      <c r="BG95" s="200" t="s">
        <v>185</v>
      </c>
      <c r="BH95" s="248">
        <v>250</v>
      </c>
      <c r="BI95" s="188"/>
    </row>
    <row r="96" spans="1:61" ht="15" customHeight="1">
      <c r="A96" s="125">
        <v>2003</v>
      </c>
      <c r="B96" s="255" t="s">
        <v>242</v>
      </c>
      <c r="C96" s="255" t="s">
        <v>243</v>
      </c>
      <c r="D96" s="126">
        <v>210.5</v>
      </c>
      <c r="E96" s="234"/>
      <c r="F96" s="125">
        <v>1014</v>
      </c>
      <c r="G96" s="255" t="s">
        <v>186</v>
      </c>
      <c r="H96" s="255" t="s">
        <v>244</v>
      </c>
      <c r="I96" s="126">
        <v>210.5</v>
      </c>
      <c r="J96" s="126">
        <v>205.7</v>
      </c>
      <c r="K96" s="201">
        <v>6.6</v>
      </c>
      <c r="L96" s="201">
        <v>14.76</v>
      </c>
      <c r="M96" s="201">
        <v>2.84</v>
      </c>
      <c r="N96" s="126">
        <v>466.3</v>
      </c>
      <c r="O96" s="129">
        <v>54.3</v>
      </c>
      <c r="P96" s="129">
        <v>13.2</v>
      </c>
      <c r="Q96" s="129">
        <v>31.3</v>
      </c>
      <c r="R96" s="129">
        <v>16.1</v>
      </c>
      <c r="S96" s="129">
        <f aca="true" t="shared" si="24" ref="S96:S101">R96-T96</f>
        <v>16.09</v>
      </c>
      <c r="T96" s="129">
        <v>0.01</v>
      </c>
      <c r="U96" s="129">
        <v>13.6</v>
      </c>
      <c r="V96" s="129">
        <v>1.7</v>
      </c>
      <c r="W96" s="261"/>
      <c r="X96" s="126">
        <v>449</v>
      </c>
      <c r="Y96" s="126">
        <v>186.4</v>
      </c>
      <c r="Z96" s="129">
        <v>1.49</v>
      </c>
      <c r="AA96" s="148">
        <v>399.1</v>
      </c>
      <c r="AB96" s="148">
        <v>2435</v>
      </c>
      <c r="AC96" s="201">
        <v>27.4</v>
      </c>
      <c r="AD96" s="129">
        <v>19.9</v>
      </c>
      <c r="AE96" s="129">
        <f>AC96-AD96</f>
        <v>7.5</v>
      </c>
      <c r="AF96" s="129">
        <v>27.4</v>
      </c>
      <c r="AG96" s="129">
        <v>19.9</v>
      </c>
      <c r="AH96" s="126">
        <v>593077400</v>
      </c>
      <c r="AI96" s="126">
        <v>329928400</v>
      </c>
      <c r="AJ96" s="126">
        <f t="shared" si="22"/>
        <v>263149000</v>
      </c>
      <c r="AK96" s="126">
        <v>301217500</v>
      </c>
      <c r="AL96" s="126">
        <f t="shared" si="23"/>
        <v>291859900</v>
      </c>
      <c r="AM96" s="126">
        <v>154723400</v>
      </c>
      <c r="AN96" s="126">
        <v>130574700</v>
      </c>
      <c r="AO96" s="126">
        <f aca="true" t="shared" si="25" ref="AO96:AO103">AK96-AM96-AN96</f>
        <v>15919400</v>
      </c>
      <c r="AP96" s="249"/>
      <c r="AQ96" s="126">
        <v>175205000</v>
      </c>
      <c r="AR96" s="126">
        <f aca="true" t="shared" si="26" ref="AR96:AR101">AL96-AQ96</f>
        <v>116654900</v>
      </c>
      <c r="AS96" s="126">
        <v>599007770</v>
      </c>
      <c r="AT96" s="202">
        <v>616926800</v>
      </c>
      <c r="AU96" s="126">
        <v>315405500</v>
      </c>
      <c r="AV96" s="126">
        <v>301521300</v>
      </c>
      <c r="AW96" s="126"/>
      <c r="AX96" s="126">
        <v>242061000</v>
      </c>
      <c r="AY96" s="126">
        <v>124687200</v>
      </c>
      <c r="AZ96" s="249" t="s">
        <v>185</v>
      </c>
      <c r="BA96" s="126">
        <v>1089593480</v>
      </c>
      <c r="BB96" s="126">
        <v>407072124</v>
      </c>
      <c r="BC96" s="126">
        <v>555583715</v>
      </c>
      <c r="BD96" s="126">
        <v>126937641</v>
      </c>
      <c r="BE96" s="249" t="s">
        <v>185</v>
      </c>
      <c r="BF96" s="126">
        <v>69879000</v>
      </c>
      <c r="BG96" s="200" t="s">
        <v>184</v>
      </c>
      <c r="BH96" s="249">
        <v>250</v>
      </c>
      <c r="BI96" s="188"/>
    </row>
    <row r="97" spans="1:61" ht="15" customHeight="1">
      <c r="A97" s="125">
        <v>2004</v>
      </c>
      <c r="B97" s="255" t="s">
        <v>242</v>
      </c>
      <c r="C97" s="255" t="s">
        <v>243</v>
      </c>
      <c r="D97" s="126">
        <v>211.3</v>
      </c>
      <c r="E97" s="234"/>
      <c r="F97" s="125">
        <v>1015</v>
      </c>
      <c r="G97" s="255" t="s">
        <v>186</v>
      </c>
      <c r="H97" s="255" t="s">
        <v>244</v>
      </c>
      <c r="I97" s="126">
        <v>211.3</v>
      </c>
      <c r="J97" s="126">
        <v>206.6</v>
      </c>
      <c r="K97" s="201">
        <v>6.3</v>
      </c>
      <c r="L97" s="201">
        <v>14.76</v>
      </c>
      <c r="M97" s="201">
        <v>2.87</v>
      </c>
      <c r="N97" s="126">
        <v>466.3</v>
      </c>
      <c r="O97" s="129">
        <v>53.9</v>
      </c>
      <c r="P97" s="129">
        <v>14.6</v>
      </c>
      <c r="Q97" s="129">
        <v>30.6</v>
      </c>
      <c r="R97" s="129">
        <v>15.8</v>
      </c>
      <c r="S97" s="129">
        <f t="shared" si="24"/>
        <v>15.790000000000001</v>
      </c>
      <c r="T97" s="129">
        <v>0.01</v>
      </c>
      <c r="U97" s="129">
        <v>13.2</v>
      </c>
      <c r="V97" s="129">
        <v>1.6</v>
      </c>
      <c r="W97" s="261"/>
      <c r="X97" s="126">
        <v>585</v>
      </c>
      <c r="Y97" s="126">
        <v>187.2</v>
      </c>
      <c r="Z97" s="129">
        <v>1.59</v>
      </c>
      <c r="AA97" s="148">
        <v>399.1</v>
      </c>
      <c r="AB97" s="148">
        <v>2658</v>
      </c>
      <c r="AC97" s="201">
        <v>27</v>
      </c>
      <c r="AD97" s="129">
        <v>19.6</v>
      </c>
      <c r="AE97" s="129">
        <f>AC97-AD97</f>
        <v>7.399999999999999</v>
      </c>
      <c r="AF97" s="129">
        <v>27</v>
      </c>
      <c r="AG97" s="129">
        <v>19.6</v>
      </c>
      <c r="AH97" s="126">
        <v>588835900</v>
      </c>
      <c r="AI97" s="126">
        <v>327303500</v>
      </c>
      <c r="AJ97" s="126">
        <f t="shared" si="22"/>
        <v>261532400</v>
      </c>
      <c r="AK97" s="126">
        <v>299982300</v>
      </c>
      <c r="AL97" s="126">
        <f t="shared" si="23"/>
        <v>288853600</v>
      </c>
      <c r="AM97" s="126">
        <v>155066700</v>
      </c>
      <c r="AN97" s="126">
        <v>129242400</v>
      </c>
      <c r="AO97" s="126">
        <f t="shared" si="25"/>
        <v>15673200</v>
      </c>
      <c r="AP97" s="249"/>
      <c r="AQ97" s="126">
        <v>172236800</v>
      </c>
      <c r="AR97" s="126">
        <f t="shared" si="26"/>
        <v>116616800</v>
      </c>
      <c r="AS97" s="126">
        <v>627294254</v>
      </c>
      <c r="AT97" s="202">
        <v>658179200</v>
      </c>
      <c r="AU97" s="126">
        <v>338548500</v>
      </c>
      <c r="AV97" s="126">
        <v>319630700</v>
      </c>
      <c r="AW97" s="126"/>
      <c r="AX97" s="126">
        <v>255059000</v>
      </c>
      <c r="AY97" s="126">
        <v>134082100</v>
      </c>
      <c r="AZ97" s="249" t="s">
        <v>185</v>
      </c>
      <c r="BA97" s="126">
        <v>1075511365</v>
      </c>
      <c r="BB97" s="126">
        <v>401811046</v>
      </c>
      <c r="BC97" s="126">
        <v>548403245</v>
      </c>
      <c r="BD97" s="126">
        <v>125297074</v>
      </c>
      <c r="BE97" s="249" t="s">
        <v>185</v>
      </c>
      <c r="BF97" s="126">
        <v>76986849</v>
      </c>
      <c r="BG97" s="233" t="s">
        <v>185</v>
      </c>
      <c r="BH97" s="249">
        <v>250</v>
      </c>
      <c r="BI97" s="188"/>
    </row>
    <row r="98" spans="1:61" ht="15" customHeight="1">
      <c r="A98" s="125">
        <v>2005</v>
      </c>
      <c r="B98" s="255" t="s">
        <v>242</v>
      </c>
      <c r="C98" s="255" t="s">
        <v>243</v>
      </c>
      <c r="D98" s="126">
        <v>213.8</v>
      </c>
      <c r="E98" s="234"/>
      <c r="F98" s="125">
        <v>1009</v>
      </c>
      <c r="G98" s="255" t="s">
        <v>186</v>
      </c>
      <c r="H98" s="255" t="s">
        <v>244</v>
      </c>
      <c r="I98" s="126">
        <v>213.8</v>
      </c>
      <c r="J98" s="126">
        <v>207.5</v>
      </c>
      <c r="K98" s="201">
        <v>6.2</v>
      </c>
      <c r="L98" s="201">
        <v>14.85</v>
      </c>
      <c r="M98" s="201">
        <v>2.91</v>
      </c>
      <c r="N98" s="126">
        <v>471.5</v>
      </c>
      <c r="O98" s="129">
        <v>49.2</v>
      </c>
      <c r="P98" s="129">
        <v>16.5</v>
      </c>
      <c r="Q98" s="129">
        <v>30.4</v>
      </c>
      <c r="R98" s="129">
        <v>15.9</v>
      </c>
      <c r="S98" s="129">
        <f t="shared" si="24"/>
        <v>15.89</v>
      </c>
      <c r="T98" s="129">
        <v>0.01</v>
      </c>
      <c r="U98" s="129">
        <v>12.9</v>
      </c>
      <c r="V98" s="129">
        <v>1.6</v>
      </c>
      <c r="W98" s="261"/>
      <c r="X98" s="126">
        <v>568</v>
      </c>
      <c r="Y98" s="126">
        <v>188.4</v>
      </c>
      <c r="Z98" s="129">
        <v>1.71</v>
      </c>
      <c r="AA98" s="148">
        <v>401.4</v>
      </c>
      <c r="AB98" s="148">
        <v>3456</v>
      </c>
      <c r="AC98" s="201">
        <v>27</v>
      </c>
      <c r="AD98" s="129">
        <v>19.5</v>
      </c>
      <c r="AE98" s="129">
        <v>7.5</v>
      </c>
      <c r="AF98" s="129">
        <v>27</v>
      </c>
      <c r="AG98" s="129">
        <v>19.5</v>
      </c>
      <c r="AH98" s="126">
        <v>587607700</v>
      </c>
      <c r="AI98" s="126">
        <v>327571200</v>
      </c>
      <c r="AJ98" s="126">
        <f t="shared" si="22"/>
        <v>260036500</v>
      </c>
      <c r="AK98" s="126">
        <v>297606800</v>
      </c>
      <c r="AL98" s="126">
        <f t="shared" si="23"/>
        <v>290000900</v>
      </c>
      <c r="AM98" s="126">
        <v>155936700</v>
      </c>
      <c r="AN98" s="126">
        <v>126050400</v>
      </c>
      <c r="AO98" s="126">
        <f t="shared" si="25"/>
        <v>15619700</v>
      </c>
      <c r="AP98" s="249"/>
      <c r="AQ98" s="126">
        <v>171634500</v>
      </c>
      <c r="AR98" s="126">
        <f t="shared" si="26"/>
        <v>118366400</v>
      </c>
      <c r="AS98" s="126">
        <v>594724259</v>
      </c>
      <c r="AT98" s="202">
        <v>743495700</v>
      </c>
      <c r="AU98" s="126">
        <v>397705600</v>
      </c>
      <c r="AV98" s="126">
        <v>345790100</v>
      </c>
      <c r="AW98" s="126"/>
      <c r="AX98" s="126">
        <v>285074000</v>
      </c>
      <c r="AY98" s="126">
        <v>162263900</v>
      </c>
      <c r="AZ98" s="249" t="s">
        <v>185</v>
      </c>
      <c r="BA98" s="126">
        <v>1321063534</v>
      </c>
      <c r="BB98" s="126">
        <v>493549336</v>
      </c>
      <c r="BC98" s="126">
        <v>673610293</v>
      </c>
      <c r="BD98" s="126">
        <f aca="true" t="shared" si="27" ref="BD98:BD103">BA98-BB98-BC98</f>
        <v>153903905</v>
      </c>
      <c r="BE98" s="249" t="s">
        <v>185</v>
      </c>
      <c r="BF98" s="126">
        <v>83491000</v>
      </c>
      <c r="BG98" s="234"/>
      <c r="BH98" s="249">
        <v>250</v>
      </c>
      <c r="BI98" s="188"/>
    </row>
    <row r="99" spans="1:61" ht="15" customHeight="1">
      <c r="A99" s="125">
        <v>2006</v>
      </c>
      <c r="B99" s="255" t="s">
        <v>242</v>
      </c>
      <c r="C99" s="255" t="s">
        <v>243</v>
      </c>
      <c r="D99" s="126">
        <v>215.9</v>
      </c>
      <c r="E99" s="234"/>
      <c r="F99" s="125">
        <v>996</v>
      </c>
      <c r="G99" s="255" t="s">
        <v>186</v>
      </c>
      <c r="H99" s="255" t="s">
        <v>244</v>
      </c>
      <c r="I99" s="126">
        <v>215.9</v>
      </c>
      <c r="J99" s="126">
        <v>209.9</v>
      </c>
      <c r="K99" s="201">
        <v>6.1</v>
      </c>
      <c r="L99" s="201">
        <v>14.85</v>
      </c>
      <c r="M99" s="201">
        <v>2.93</v>
      </c>
      <c r="N99" s="126">
        <v>471.7</v>
      </c>
      <c r="O99" s="129">
        <v>49.6</v>
      </c>
      <c r="P99" s="129">
        <v>16.4</v>
      </c>
      <c r="Q99" s="129">
        <v>30.2</v>
      </c>
      <c r="R99" s="129">
        <v>15.8</v>
      </c>
      <c r="S99" s="129">
        <f t="shared" si="24"/>
        <v>15.790000000000001</v>
      </c>
      <c r="T99" s="129">
        <v>0.01</v>
      </c>
      <c r="U99" s="129">
        <v>12.8</v>
      </c>
      <c r="V99" s="129">
        <v>1.5</v>
      </c>
      <c r="W99" s="261"/>
      <c r="X99" s="126">
        <v>605</v>
      </c>
      <c r="Y99" s="126">
        <v>189.1</v>
      </c>
      <c r="Z99" s="129">
        <v>1.92</v>
      </c>
      <c r="AA99" s="148">
        <v>402.1</v>
      </c>
      <c r="AB99" s="148">
        <v>4449</v>
      </c>
      <c r="AC99" s="201">
        <v>26.7</v>
      </c>
      <c r="AD99" s="129">
        <v>19.2</v>
      </c>
      <c r="AE99" s="129">
        <v>7.5</v>
      </c>
      <c r="AF99" s="129">
        <v>26.7</v>
      </c>
      <c r="AG99" s="129">
        <v>19.2</v>
      </c>
      <c r="AH99" s="126">
        <v>701393100</v>
      </c>
      <c r="AI99" s="126">
        <v>384448700</v>
      </c>
      <c r="AJ99" s="126">
        <f t="shared" si="22"/>
        <v>316944400</v>
      </c>
      <c r="AK99" s="126">
        <v>355264300</v>
      </c>
      <c r="AL99" s="126">
        <f t="shared" si="23"/>
        <v>346128800</v>
      </c>
      <c r="AM99" s="126">
        <v>186705400</v>
      </c>
      <c r="AN99" s="126">
        <v>150162600</v>
      </c>
      <c r="AO99" s="126">
        <f t="shared" si="25"/>
        <v>18396300</v>
      </c>
      <c r="AP99" s="249"/>
      <c r="AQ99" s="126">
        <v>197743300</v>
      </c>
      <c r="AR99" s="126">
        <f t="shared" si="26"/>
        <v>148385500</v>
      </c>
      <c r="AS99" s="126">
        <v>642615580</v>
      </c>
      <c r="AT99" s="202">
        <v>809180100</v>
      </c>
      <c r="AU99" s="126">
        <v>439404800</v>
      </c>
      <c r="AV99" s="126">
        <v>369775300</v>
      </c>
      <c r="AW99" s="126"/>
      <c r="AX99" s="126">
        <v>335085000</v>
      </c>
      <c r="AY99" s="126">
        <v>174555500</v>
      </c>
      <c r="AZ99" s="249" t="s">
        <v>185</v>
      </c>
      <c r="BA99" s="126">
        <v>1319758045</v>
      </c>
      <c r="BB99" s="126">
        <v>598974037</v>
      </c>
      <c r="BC99" s="126">
        <v>563011796</v>
      </c>
      <c r="BD99" s="126">
        <f t="shared" si="27"/>
        <v>157772212</v>
      </c>
      <c r="BE99" s="249" t="s">
        <v>185</v>
      </c>
      <c r="BF99" s="126">
        <v>60562000</v>
      </c>
      <c r="BG99" s="235"/>
      <c r="BH99" s="249">
        <v>250</v>
      </c>
      <c r="BI99" s="188"/>
    </row>
    <row r="100" spans="1:61" ht="15" customHeight="1">
      <c r="A100" s="125">
        <v>2007</v>
      </c>
      <c r="B100" s="255" t="s">
        <v>242</v>
      </c>
      <c r="C100" s="255" t="s">
        <v>243</v>
      </c>
      <c r="D100" s="126">
        <v>217.8</v>
      </c>
      <c r="E100" s="234"/>
      <c r="F100" s="125">
        <v>969</v>
      </c>
      <c r="G100" s="255" t="s">
        <v>186</v>
      </c>
      <c r="H100" s="255" t="s">
        <v>244</v>
      </c>
      <c r="I100" s="126">
        <v>217.8</v>
      </c>
      <c r="J100" s="126">
        <v>211.8</v>
      </c>
      <c r="K100" s="201">
        <v>6</v>
      </c>
      <c r="L100" s="201">
        <v>14.95</v>
      </c>
      <c r="M100" s="201">
        <v>2.95</v>
      </c>
      <c r="N100" s="126">
        <v>471.8</v>
      </c>
      <c r="O100" s="129">
        <v>47.8</v>
      </c>
      <c r="P100" s="129">
        <v>15.6</v>
      </c>
      <c r="Q100" s="129">
        <v>29.3</v>
      </c>
      <c r="R100" s="129">
        <v>15.7</v>
      </c>
      <c r="S100" s="129">
        <f t="shared" si="24"/>
        <v>15.69</v>
      </c>
      <c r="T100" s="129">
        <v>0.01</v>
      </c>
      <c r="U100" s="129">
        <v>11.9</v>
      </c>
      <c r="V100" s="129">
        <v>1.7</v>
      </c>
      <c r="W100" s="261"/>
      <c r="X100" s="126">
        <v>449</v>
      </c>
      <c r="Y100" s="126">
        <v>190.7</v>
      </c>
      <c r="Z100" s="129">
        <v>2.22</v>
      </c>
      <c r="AA100" s="148">
        <v>402.2</v>
      </c>
      <c r="AB100" s="148">
        <v>4893</v>
      </c>
      <c r="AC100" s="201">
        <v>26.7</v>
      </c>
      <c r="AD100" s="129">
        <v>19</v>
      </c>
      <c r="AE100" s="129">
        <v>7.7</v>
      </c>
      <c r="AF100" s="129">
        <v>26.7</v>
      </c>
      <c r="AG100" s="129">
        <v>19</v>
      </c>
      <c r="AH100" s="126">
        <v>759250200</v>
      </c>
      <c r="AI100" s="126">
        <v>416817500</v>
      </c>
      <c r="AJ100" s="126">
        <f t="shared" si="22"/>
        <v>342432700</v>
      </c>
      <c r="AK100" s="126">
        <v>376804000</v>
      </c>
      <c r="AL100" s="126">
        <f t="shared" si="23"/>
        <v>382446200</v>
      </c>
      <c r="AM100" s="126">
        <v>202434400</v>
      </c>
      <c r="AN100" s="126">
        <v>154719000</v>
      </c>
      <c r="AO100" s="126">
        <f t="shared" si="25"/>
        <v>19650600</v>
      </c>
      <c r="AP100" s="249"/>
      <c r="AQ100" s="126">
        <v>214383100</v>
      </c>
      <c r="AR100" s="126">
        <f t="shared" si="26"/>
        <v>168063100</v>
      </c>
      <c r="AS100" s="126">
        <v>767987351</v>
      </c>
      <c r="AT100" s="202">
        <v>928938500</v>
      </c>
      <c r="AU100" s="126">
        <v>495085800</v>
      </c>
      <c r="AV100" s="126">
        <v>433852700</v>
      </c>
      <c r="AW100" s="126"/>
      <c r="AX100" s="126">
        <v>369985000</v>
      </c>
      <c r="AY100" s="126">
        <v>211799600</v>
      </c>
      <c r="AZ100" s="249" t="s">
        <v>185</v>
      </c>
      <c r="BA100" s="126">
        <v>1310200487</v>
      </c>
      <c r="BB100" s="126">
        <v>590793836</v>
      </c>
      <c r="BC100" s="126">
        <v>567991885</v>
      </c>
      <c r="BD100" s="126">
        <f t="shared" si="27"/>
        <v>151414766</v>
      </c>
      <c r="BE100" s="249" t="s">
        <v>185</v>
      </c>
      <c r="BF100" s="126">
        <v>81885000</v>
      </c>
      <c r="BG100" s="233" t="s">
        <v>184</v>
      </c>
      <c r="BH100" s="249">
        <v>250</v>
      </c>
      <c r="BI100" s="188"/>
    </row>
    <row r="101" spans="1:61" ht="15" customHeight="1">
      <c r="A101" s="125">
        <v>2008</v>
      </c>
      <c r="B101" s="255" t="s">
        <v>242</v>
      </c>
      <c r="C101" s="255" t="s">
        <v>243</v>
      </c>
      <c r="D101" s="126">
        <v>205.9</v>
      </c>
      <c r="E101" s="234"/>
      <c r="F101" s="125">
        <v>904</v>
      </c>
      <c r="G101" s="255" t="s">
        <v>186</v>
      </c>
      <c r="H101" s="255" t="s">
        <v>244</v>
      </c>
      <c r="I101" s="126">
        <v>217.5</v>
      </c>
      <c r="J101" s="126">
        <v>211.6</v>
      </c>
      <c r="K101" s="201">
        <f>I101-J101</f>
        <v>5.900000000000006</v>
      </c>
      <c r="L101" s="201">
        <v>15</v>
      </c>
      <c r="M101" s="201">
        <v>2.95</v>
      </c>
      <c r="N101" s="126">
        <v>471.8</v>
      </c>
      <c r="O101" s="129">
        <v>54.38</v>
      </c>
      <c r="P101" s="129">
        <v>15.2</v>
      </c>
      <c r="Q101" s="129">
        <v>28.4</v>
      </c>
      <c r="R101" s="129">
        <v>15.7</v>
      </c>
      <c r="S101" s="129">
        <f t="shared" si="24"/>
        <v>15.68</v>
      </c>
      <c r="T101" s="129">
        <v>0.02</v>
      </c>
      <c r="U101" s="129">
        <v>11.4</v>
      </c>
      <c r="V101" s="129">
        <v>1.3</v>
      </c>
      <c r="W101" s="261"/>
      <c r="X101" s="126">
        <v>707</v>
      </c>
      <c r="Y101" s="126">
        <v>191.44</v>
      </c>
      <c r="Z101" s="129">
        <v>2.53</v>
      </c>
      <c r="AA101" s="148">
        <v>402.2</v>
      </c>
      <c r="AB101" s="148">
        <v>6712</v>
      </c>
      <c r="AC101" s="201">
        <v>26.5</v>
      </c>
      <c r="AD101" s="129">
        <v>19</v>
      </c>
      <c r="AE101" s="129">
        <v>7.5</v>
      </c>
      <c r="AF101" s="129">
        <v>26.5</v>
      </c>
      <c r="AG101" s="129">
        <v>18.9</v>
      </c>
      <c r="AH101" s="126">
        <v>810288959</v>
      </c>
      <c r="AI101" s="126">
        <v>447440269</v>
      </c>
      <c r="AJ101" s="126">
        <v>362848690</v>
      </c>
      <c r="AK101" s="126">
        <v>398634194</v>
      </c>
      <c r="AL101" s="126">
        <v>411654765</v>
      </c>
      <c r="AM101" s="126">
        <v>216964532</v>
      </c>
      <c r="AN101" s="126">
        <v>162168683</v>
      </c>
      <c r="AO101" s="126">
        <f t="shared" si="25"/>
        <v>19500979</v>
      </c>
      <c r="AP101" s="249"/>
      <c r="AQ101" s="126">
        <v>230475737</v>
      </c>
      <c r="AR101" s="126">
        <f t="shared" si="26"/>
        <v>181179028</v>
      </c>
      <c r="AS101" s="126">
        <v>892596865</v>
      </c>
      <c r="AT101" s="202">
        <v>942541600</v>
      </c>
      <c r="AU101" s="126">
        <v>475321400</v>
      </c>
      <c r="AV101" s="126">
        <v>467220200</v>
      </c>
      <c r="AW101" s="126"/>
      <c r="AX101" s="126">
        <v>405262000</v>
      </c>
      <c r="AY101" s="126">
        <v>205039000</v>
      </c>
      <c r="AZ101" s="249" t="s">
        <v>185</v>
      </c>
      <c r="BA101" s="126">
        <v>1778060204</v>
      </c>
      <c r="BB101" s="126">
        <v>777318120</v>
      </c>
      <c r="BC101" s="126">
        <v>868761841</v>
      </c>
      <c r="BD101" s="126">
        <f t="shared" si="27"/>
        <v>131980243</v>
      </c>
      <c r="BE101" s="249" t="s">
        <v>185</v>
      </c>
      <c r="BF101" s="126">
        <v>70341000</v>
      </c>
      <c r="BG101" s="234"/>
      <c r="BH101" s="249">
        <v>250</v>
      </c>
      <c r="BI101" s="188"/>
    </row>
    <row r="102" spans="1:61" ht="15" customHeight="1">
      <c r="A102" s="125">
        <v>2009</v>
      </c>
      <c r="B102" s="255" t="s">
        <v>242</v>
      </c>
      <c r="C102" s="255" t="s">
        <v>243</v>
      </c>
      <c r="D102" s="126">
        <v>224.79</v>
      </c>
      <c r="E102" s="234"/>
      <c r="F102" s="125">
        <v>898</v>
      </c>
      <c r="G102" s="255" t="s">
        <v>186</v>
      </c>
      <c r="H102" s="255" t="s">
        <v>244</v>
      </c>
      <c r="I102" s="126">
        <v>224.79</v>
      </c>
      <c r="J102" s="126">
        <v>222.39</v>
      </c>
      <c r="K102" s="201">
        <v>2.4</v>
      </c>
      <c r="L102" s="201">
        <v>16.39</v>
      </c>
      <c r="M102" s="201">
        <v>3.17</v>
      </c>
      <c r="N102" s="126">
        <v>476.1</v>
      </c>
      <c r="O102" s="129">
        <v>45.68</v>
      </c>
      <c r="P102" s="129">
        <v>15.26</v>
      </c>
      <c r="Q102" s="129">
        <v>28.1</v>
      </c>
      <c r="R102" s="129">
        <v>15.8</v>
      </c>
      <c r="S102" s="129">
        <v>15.74</v>
      </c>
      <c r="T102" s="129">
        <v>0.06</v>
      </c>
      <c r="U102" s="129">
        <v>10.86</v>
      </c>
      <c r="V102" s="129">
        <f>Q102-R102-U102</f>
        <v>1.4400000000000013</v>
      </c>
      <c r="W102" s="261"/>
      <c r="X102" s="126">
        <v>569</v>
      </c>
      <c r="Y102" s="126">
        <v>202.72</v>
      </c>
      <c r="Z102" s="129">
        <v>2.82</v>
      </c>
      <c r="AA102" s="148">
        <v>411.4</v>
      </c>
      <c r="AB102" s="148">
        <v>7489</v>
      </c>
      <c r="AC102" s="201">
        <v>26.4</v>
      </c>
      <c r="AD102" s="129">
        <v>19.24</v>
      </c>
      <c r="AE102" s="129">
        <f>AC102-AD102</f>
        <v>7.16</v>
      </c>
      <c r="AF102" s="129">
        <v>37.44</v>
      </c>
      <c r="AG102" s="129">
        <v>37.44</v>
      </c>
      <c r="AH102" s="126">
        <v>1025859516</v>
      </c>
      <c r="AI102" s="126">
        <v>477597808</v>
      </c>
      <c r="AJ102" s="126">
        <v>548261708</v>
      </c>
      <c r="AK102" s="126">
        <v>526366987</v>
      </c>
      <c r="AL102" s="126">
        <v>499492529</v>
      </c>
      <c r="AM102" s="126">
        <v>233385000</v>
      </c>
      <c r="AN102" s="126">
        <v>263206400</v>
      </c>
      <c r="AO102" s="126">
        <f t="shared" si="25"/>
        <v>29775587</v>
      </c>
      <c r="AP102" s="249"/>
      <c r="AQ102" s="126">
        <f>AI102-AM102</f>
        <v>244212808</v>
      </c>
      <c r="AR102" s="126">
        <f>AJ102-AN102-AO102</f>
        <v>255279721</v>
      </c>
      <c r="AS102" s="126">
        <v>1072992590</v>
      </c>
      <c r="AT102" s="202">
        <v>1078161800</v>
      </c>
      <c r="AU102" s="126">
        <v>550480400</v>
      </c>
      <c r="AV102" s="126">
        <f>AT102-AU102</f>
        <v>527681400</v>
      </c>
      <c r="AW102" s="126"/>
      <c r="AX102" s="126">
        <v>417430300</v>
      </c>
      <c r="AY102" s="126">
        <v>224254100</v>
      </c>
      <c r="AZ102" s="249" t="s">
        <v>185</v>
      </c>
      <c r="BA102" s="126">
        <v>2539492170</v>
      </c>
      <c r="BB102" s="126">
        <v>1414386943</v>
      </c>
      <c r="BC102" s="126">
        <v>940541943</v>
      </c>
      <c r="BD102" s="126">
        <f t="shared" si="27"/>
        <v>184563284</v>
      </c>
      <c r="BE102" s="249" t="s">
        <v>185</v>
      </c>
      <c r="BF102" s="126">
        <v>150161000</v>
      </c>
      <c r="BG102" s="234"/>
      <c r="BH102" s="249">
        <v>250</v>
      </c>
      <c r="BI102" s="188">
        <v>47.8</v>
      </c>
    </row>
    <row r="103" spans="1:61" ht="15" customHeight="1">
      <c r="A103" s="125">
        <v>2010</v>
      </c>
      <c r="B103" s="256" t="s">
        <v>242</v>
      </c>
      <c r="C103" s="256" t="s">
        <v>243</v>
      </c>
      <c r="D103" s="126">
        <v>228.96</v>
      </c>
      <c r="E103" s="235"/>
      <c r="F103" s="125">
        <v>930</v>
      </c>
      <c r="G103" s="256" t="s">
        <v>186</v>
      </c>
      <c r="H103" s="256" t="s">
        <v>244</v>
      </c>
      <c r="I103" s="126">
        <v>228.96</v>
      </c>
      <c r="J103" s="126">
        <v>226.17</v>
      </c>
      <c r="K103" s="201">
        <v>2.79</v>
      </c>
      <c r="L103" s="201">
        <v>21.44</v>
      </c>
      <c r="M103" s="201">
        <v>3.38</v>
      </c>
      <c r="N103" s="126">
        <v>528</v>
      </c>
      <c r="O103" s="129">
        <v>39.75</v>
      </c>
      <c r="P103" s="129">
        <v>16.1</v>
      </c>
      <c r="Q103" s="129">
        <v>27.14</v>
      </c>
      <c r="R103" s="129">
        <v>15.24</v>
      </c>
      <c r="S103" s="129">
        <v>15.17</v>
      </c>
      <c r="T103" s="129">
        <v>0.07</v>
      </c>
      <c r="U103" s="129">
        <v>10.43</v>
      </c>
      <c r="V103" s="129">
        <f>Q103-R103-U103</f>
        <v>1.4700000000000006</v>
      </c>
      <c r="W103" s="262"/>
      <c r="X103" s="126">
        <v>694</v>
      </c>
      <c r="Y103" s="126">
        <v>207.25</v>
      </c>
      <c r="Z103" s="129">
        <v>3.36</v>
      </c>
      <c r="AA103" s="200">
        <v>437</v>
      </c>
      <c r="AB103" s="200">
        <v>6911</v>
      </c>
      <c r="AC103" s="201">
        <v>25.7</v>
      </c>
      <c r="AD103" s="129">
        <v>18.62</v>
      </c>
      <c r="AE103" s="129">
        <f>AC103-AD103</f>
        <v>7.079999999999998</v>
      </c>
      <c r="AF103" s="129">
        <v>41.89</v>
      </c>
      <c r="AG103" s="129">
        <v>41.89</v>
      </c>
      <c r="AH103" s="126">
        <v>1403735360</v>
      </c>
      <c r="AI103" s="126">
        <v>494436040</v>
      </c>
      <c r="AJ103" s="126">
        <v>909299320</v>
      </c>
      <c r="AK103" s="126">
        <v>741780996</v>
      </c>
      <c r="AL103" s="126">
        <v>661954364</v>
      </c>
      <c r="AM103" s="126">
        <v>242398300</v>
      </c>
      <c r="AN103" s="126">
        <v>453937300</v>
      </c>
      <c r="AO103" s="126">
        <f t="shared" si="25"/>
        <v>45445396</v>
      </c>
      <c r="AP103" s="250"/>
      <c r="AQ103" s="126">
        <f>AI103-AM103</f>
        <v>252037740</v>
      </c>
      <c r="AR103" s="126">
        <f>AJ103-AN103-AO103</f>
        <v>409916624</v>
      </c>
      <c r="AS103" s="126">
        <v>1531675559</v>
      </c>
      <c r="AT103" s="202">
        <v>1425037500</v>
      </c>
      <c r="AU103" s="126">
        <v>744257100</v>
      </c>
      <c r="AV103" s="126">
        <f>AT103-AU103</f>
        <v>680780400</v>
      </c>
      <c r="AW103" s="126"/>
      <c r="AX103" s="126">
        <v>522253800</v>
      </c>
      <c r="AY103" s="126">
        <v>324233100</v>
      </c>
      <c r="AZ103" s="250" t="s">
        <v>185</v>
      </c>
      <c r="BA103" s="126">
        <v>3280812372</v>
      </c>
      <c r="BB103" s="126">
        <v>1972012060</v>
      </c>
      <c r="BC103" s="126">
        <v>1052376068</v>
      </c>
      <c r="BD103" s="126">
        <f t="shared" si="27"/>
        <v>256424244</v>
      </c>
      <c r="BE103" s="250" t="s">
        <v>185</v>
      </c>
      <c r="BF103" s="126">
        <v>165125000</v>
      </c>
      <c r="BG103" s="235"/>
      <c r="BH103" s="250">
        <v>250</v>
      </c>
      <c r="BI103" s="188">
        <v>48</v>
      </c>
    </row>
    <row r="104" spans="1:60" s="74" customFormat="1" ht="6" customHeight="1">
      <c r="A104" s="76"/>
      <c r="B104" s="81"/>
      <c r="C104" s="81"/>
      <c r="D104" s="75"/>
      <c r="E104" s="78"/>
      <c r="H104" s="8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4"/>
      <c r="U104" s="83"/>
      <c r="V104" s="83"/>
      <c r="W104" s="83"/>
      <c r="X104" s="78"/>
      <c r="Y104" s="83"/>
      <c r="Z104" s="83"/>
      <c r="AA104" s="83"/>
      <c r="AB104" s="78"/>
      <c r="AC104" s="83"/>
      <c r="AD104" s="83"/>
      <c r="AE104" s="83"/>
      <c r="AF104" s="83"/>
      <c r="AG104" s="83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85"/>
    </row>
    <row r="105" spans="1:61" ht="15" customHeight="1">
      <c r="A105" s="188">
        <v>2000</v>
      </c>
      <c r="B105" s="236" t="s">
        <v>245</v>
      </c>
      <c r="C105" s="236" t="s">
        <v>246</v>
      </c>
      <c r="D105" s="126">
        <v>216.5</v>
      </c>
      <c r="E105" s="239">
        <v>1</v>
      </c>
      <c r="F105" s="188">
        <v>546</v>
      </c>
      <c r="G105" s="242" t="s">
        <v>247</v>
      </c>
      <c r="H105" s="242" t="s">
        <v>248</v>
      </c>
      <c r="I105" s="190">
        <f>J105+K105</f>
        <v>143.22899999999998</v>
      </c>
      <c r="J105" s="190">
        <v>121.381</v>
      </c>
      <c r="K105" s="195">
        <v>21.848</v>
      </c>
      <c r="L105" s="195">
        <v>3.94</v>
      </c>
      <c r="M105" s="195">
        <v>2.76</v>
      </c>
      <c r="N105" s="190">
        <v>297.7</v>
      </c>
      <c r="O105" s="192">
        <v>25.981</v>
      </c>
      <c r="P105" s="192">
        <v>8.3</v>
      </c>
      <c r="Q105" s="192">
        <v>18.915</v>
      </c>
      <c r="R105" s="192">
        <f>S105+T105</f>
        <v>9.93</v>
      </c>
      <c r="S105" s="192">
        <v>9.58</v>
      </c>
      <c r="T105" s="192">
        <v>0.35</v>
      </c>
      <c r="U105" s="192">
        <f aca="true" t="shared" si="28" ref="U105:U112">Q105-R105-V105</f>
        <v>8.365</v>
      </c>
      <c r="V105" s="192">
        <v>0.62</v>
      </c>
      <c r="W105" s="245" t="s">
        <v>185</v>
      </c>
      <c r="X105" s="190">
        <v>338</v>
      </c>
      <c r="Y105" s="126">
        <v>113.56</v>
      </c>
      <c r="Z105" s="192">
        <v>2.54</v>
      </c>
      <c r="AA105" s="148">
        <v>279.1</v>
      </c>
      <c r="AB105" s="148">
        <v>3275</v>
      </c>
      <c r="AC105" s="129">
        <v>14.9</v>
      </c>
      <c r="AD105" s="129">
        <v>11.5</v>
      </c>
      <c r="AE105" s="192">
        <v>3.4</v>
      </c>
      <c r="AF105" s="192">
        <v>14.9</v>
      </c>
      <c r="AG105" s="230" t="s">
        <v>185</v>
      </c>
      <c r="AH105" s="190">
        <f>AI105+AJ105</f>
        <v>293817100</v>
      </c>
      <c r="AI105" s="190">
        <f>AM105+AQ105</f>
        <v>186052100</v>
      </c>
      <c r="AJ105" s="126">
        <f aca="true" t="shared" si="29" ref="AJ105:AJ112">AN105+AO105+AR105</f>
        <v>107765000</v>
      </c>
      <c r="AK105" s="126">
        <v>164808300</v>
      </c>
      <c r="AL105" s="126">
        <f aca="true" t="shared" si="30" ref="AL105:AL112">AQ105+AR105</f>
        <v>129008800</v>
      </c>
      <c r="AM105" s="126">
        <v>86091200</v>
      </c>
      <c r="AN105" s="126">
        <v>72699000</v>
      </c>
      <c r="AO105" s="126">
        <v>6018100</v>
      </c>
      <c r="AP105" s="230" t="s">
        <v>185</v>
      </c>
      <c r="AQ105" s="126">
        <v>99960900</v>
      </c>
      <c r="AR105" s="126">
        <v>29047900</v>
      </c>
      <c r="AS105" s="126">
        <v>306178527</v>
      </c>
      <c r="AT105" s="202">
        <f aca="true" t="shared" si="31" ref="AT105:AT112">AU105+AV105+AW105</f>
        <v>316808000</v>
      </c>
      <c r="AU105" s="126">
        <v>160153200</v>
      </c>
      <c r="AV105" s="126">
        <v>112955800</v>
      </c>
      <c r="AW105" s="126">
        <v>43699000</v>
      </c>
      <c r="AX105" s="126">
        <v>91421900</v>
      </c>
      <c r="AY105" s="126">
        <v>86996257</v>
      </c>
      <c r="AZ105" s="230" t="s">
        <v>185</v>
      </c>
      <c r="BA105" s="126">
        <v>309076988</v>
      </c>
      <c r="BB105" s="126">
        <v>91077115</v>
      </c>
      <c r="BC105" s="126">
        <v>150307811</v>
      </c>
      <c r="BD105" s="126">
        <f aca="true" t="shared" si="32" ref="BD105:BD111">BA105-BB105-BC105</f>
        <v>67692062</v>
      </c>
      <c r="BE105" s="230" t="s">
        <v>185</v>
      </c>
      <c r="BF105" s="190">
        <v>62700000</v>
      </c>
      <c r="BG105" s="233" t="s">
        <v>185</v>
      </c>
      <c r="BH105" s="230">
        <v>180</v>
      </c>
      <c r="BI105" s="125"/>
    </row>
    <row r="106" spans="1:61" ht="15" customHeight="1">
      <c r="A106" s="125">
        <v>2001</v>
      </c>
      <c r="B106" s="237" t="s">
        <v>245</v>
      </c>
      <c r="C106" s="237" t="s">
        <v>246</v>
      </c>
      <c r="D106" s="126">
        <v>212.5</v>
      </c>
      <c r="E106" s="240"/>
      <c r="F106" s="125">
        <v>560</v>
      </c>
      <c r="G106" s="243" t="s">
        <v>247</v>
      </c>
      <c r="H106" s="243" t="s">
        <v>248</v>
      </c>
      <c r="I106" s="126">
        <f>J106+K106</f>
        <v>145.268</v>
      </c>
      <c r="J106" s="126">
        <v>123.632</v>
      </c>
      <c r="K106" s="201">
        <v>21.636</v>
      </c>
      <c r="L106" s="201">
        <v>4.38</v>
      </c>
      <c r="M106" s="201">
        <v>3.07</v>
      </c>
      <c r="N106" s="126">
        <v>297.7</v>
      </c>
      <c r="O106" s="129">
        <v>19.327</v>
      </c>
      <c r="P106" s="129">
        <v>8.9</v>
      </c>
      <c r="Q106" s="129">
        <v>17.628</v>
      </c>
      <c r="R106" s="129">
        <f>S106+T106</f>
        <v>7.657</v>
      </c>
      <c r="S106" s="129">
        <v>7.307</v>
      </c>
      <c r="T106" s="129">
        <v>0.35</v>
      </c>
      <c r="U106" s="129">
        <f t="shared" si="28"/>
        <v>9.351</v>
      </c>
      <c r="V106" s="129">
        <v>0.62</v>
      </c>
      <c r="W106" s="246"/>
      <c r="X106" s="126">
        <v>304</v>
      </c>
      <c r="Y106" s="126">
        <v>114.35</v>
      </c>
      <c r="Z106" s="129">
        <v>2.74</v>
      </c>
      <c r="AA106" s="148">
        <v>279.1</v>
      </c>
      <c r="AB106" s="148">
        <v>3448</v>
      </c>
      <c r="AC106" s="129">
        <v>13.7</v>
      </c>
      <c r="AD106" s="129">
        <v>10.5</v>
      </c>
      <c r="AE106" s="129">
        <v>3.2</v>
      </c>
      <c r="AF106" s="129">
        <v>13.7</v>
      </c>
      <c r="AG106" s="231" t="s">
        <v>185</v>
      </c>
      <c r="AH106" s="190">
        <f aca="true" t="shared" si="33" ref="AH106:AH112">AI106+AJ106</f>
        <v>331084600</v>
      </c>
      <c r="AI106" s="190">
        <f aca="true" t="shared" si="34" ref="AI106:AI112">AM106+AQ106</f>
        <v>187765600</v>
      </c>
      <c r="AJ106" s="126">
        <f t="shared" si="29"/>
        <v>143319000</v>
      </c>
      <c r="AK106" s="126">
        <v>181968400</v>
      </c>
      <c r="AL106" s="126">
        <f t="shared" si="30"/>
        <v>149116200</v>
      </c>
      <c r="AM106" s="126">
        <v>74981600</v>
      </c>
      <c r="AN106" s="126">
        <v>99925700</v>
      </c>
      <c r="AO106" s="126">
        <v>7061100</v>
      </c>
      <c r="AP106" s="231" t="s">
        <v>185</v>
      </c>
      <c r="AQ106" s="126">
        <v>112784000</v>
      </c>
      <c r="AR106" s="126">
        <v>36332200</v>
      </c>
      <c r="AS106" s="126">
        <v>386929930</v>
      </c>
      <c r="AT106" s="202">
        <f t="shared" si="31"/>
        <v>328641100</v>
      </c>
      <c r="AU106" s="126">
        <v>175799100</v>
      </c>
      <c r="AV106" s="126">
        <v>128502400</v>
      </c>
      <c r="AW106" s="126">
        <v>24339600</v>
      </c>
      <c r="AX106" s="126">
        <v>94886500</v>
      </c>
      <c r="AY106" s="126">
        <v>83010065</v>
      </c>
      <c r="AZ106" s="231" t="s">
        <v>185</v>
      </c>
      <c r="BA106" s="126">
        <v>299063050</v>
      </c>
      <c r="BB106" s="126">
        <v>85995082</v>
      </c>
      <c r="BC106" s="126">
        <v>141609386</v>
      </c>
      <c r="BD106" s="126">
        <f t="shared" si="32"/>
        <v>71458582</v>
      </c>
      <c r="BE106" s="231" t="s">
        <v>185</v>
      </c>
      <c r="BF106" s="126">
        <v>64782000</v>
      </c>
      <c r="BG106" s="234"/>
      <c r="BH106" s="231">
        <v>180</v>
      </c>
      <c r="BI106" s="125"/>
    </row>
    <row r="107" spans="1:61" ht="15" customHeight="1">
      <c r="A107" s="125">
        <v>2002</v>
      </c>
      <c r="B107" s="237" t="s">
        <v>245</v>
      </c>
      <c r="C107" s="237" t="s">
        <v>246</v>
      </c>
      <c r="D107" s="126">
        <v>207.1</v>
      </c>
      <c r="E107" s="240"/>
      <c r="F107" s="125">
        <v>570</v>
      </c>
      <c r="G107" s="243" t="s">
        <v>247</v>
      </c>
      <c r="H107" s="243" t="s">
        <v>248</v>
      </c>
      <c r="I107" s="126">
        <f aca="true" t="shared" si="35" ref="I107:I112">J107+K107</f>
        <v>146.28</v>
      </c>
      <c r="J107" s="126">
        <v>125</v>
      </c>
      <c r="K107" s="201">
        <v>21.28</v>
      </c>
      <c r="L107" s="201">
        <v>5.58</v>
      </c>
      <c r="M107" s="201">
        <v>3.91</v>
      </c>
      <c r="N107" s="126">
        <v>320.8</v>
      </c>
      <c r="O107" s="129">
        <v>19.862</v>
      </c>
      <c r="P107" s="129">
        <v>9.4</v>
      </c>
      <c r="Q107" s="129">
        <v>16.529</v>
      </c>
      <c r="R107" s="129">
        <f aca="true" t="shared" si="36" ref="R107:R112">S107+T107</f>
        <v>7.441</v>
      </c>
      <c r="S107" s="129">
        <v>7.101</v>
      </c>
      <c r="T107" s="129">
        <v>0.34</v>
      </c>
      <c r="U107" s="129">
        <f t="shared" si="28"/>
        <v>8.466000000000001</v>
      </c>
      <c r="V107" s="129">
        <v>0.622</v>
      </c>
      <c r="W107" s="246"/>
      <c r="X107" s="126">
        <v>206</v>
      </c>
      <c r="Y107" s="126">
        <v>115.36</v>
      </c>
      <c r="Z107" s="129">
        <v>2.92</v>
      </c>
      <c r="AA107" s="148">
        <v>288.8</v>
      </c>
      <c r="AB107" s="148">
        <v>2969</v>
      </c>
      <c r="AC107" s="129">
        <v>12.1</v>
      </c>
      <c r="AD107" s="129">
        <v>9</v>
      </c>
      <c r="AE107" s="129">
        <v>3.1</v>
      </c>
      <c r="AF107" s="129">
        <v>12.1</v>
      </c>
      <c r="AG107" s="231" t="s">
        <v>185</v>
      </c>
      <c r="AH107" s="190">
        <f t="shared" si="33"/>
        <v>363110400</v>
      </c>
      <c r="AI107" s="190">
        <f t="shared" si="34"/>
        <v>205851500</v>
      </c>
      <c r="AJ107" s="126">
        <f t="shared" si="29"/>
        <v>157258900</v>
      </c>
      <c r="AK107" s="126">
        <v>206691000</v>
      </c>
      <c r="AL107" s="126">
        <f t="shared" si="30"/>
        <v>156419400</v>
      </c>
      <c r="AM107" s="191">
        <v>88256300</v>
      </c>
      <c r="AN107" s="191">
        <v>7676600</v>
      </c>
      <c r="AO107" s="191">
        <v>110758100</v>
      </c>
      <c r="AP107" s="231" t="s">
        <v>185</v>
      </c>
      <c r="AQ107" s="126">
        <v>117595200</v>
      </c>
      <c r="AR107" s="191">
        <v>38824200</v>
      </c>
      <c r="AS107" s="191">
        <v>414836609</v>
      </c>
      <c r="AT107" s="202">
        <f t="shared" si="31"/>
        <v>361450500</v>
      </c>
      <c r="AU107" s="126">
        <v>203185200</v>
      </c>
      <c r="AV107" s="126">
        <v>126578500</v>
      </c>
      <c r="AW107" s="126">
        <v>31686800</v>
      </c>
      <c r="AX107" s="191">
        <v>100346500</v>
      </c>
      <c r="AY107" s="191">
        <v>92336002</v>
      </c>
      <c r="AZ107" s="231" t="s">
        <v>185</v>
      </c>
      <c r="BA107" s="126">
        <v>286892785</v>
      </c>
      <c r="BB107" s="126">
        <v>81744860</v>
      </c>
      <c r="BC107" s="126">
        <v>132945206</v>
      </c>
      <c r="BD107" s="126">
        <f t="shared" si="32"/>
        <v>72202719</v>
      </c>
      <c r="BE107" s="231" t="s">
        <v>185</v>
      </c>
      <c r="BF107" s="126">
        <v>70967000</v>
      </c>
      <c r="BG107" s="234"/>
      <c r="BH107" s="231">
        <v>180</v>
      </c>
      <c r="BI107" s="125"/>
    </row>
    <row r="108" spans="1:61" ht="15" customHeight="1">
      <c r="A108" s="125">
        <v>2003</v>
      </c>
      <c r="B108" s="237" t="s">
        <v>245</v>
      </c>
      <c r="C108" s="237" t="s">
        <v>246</v>
      </c>
      <c r="D108" s="126">
        <v>205.5</v>
      </c>
      <c r="E108" s="240"/>
      <c r="F108" s="125">
        <v>569</v>
      </c>
      <c r="G108" s="243" t="s">
        <v>247</v>
      </c>
      <c r="H108" s="243" t="s">
        <v>248</v>
      </c>
      <c r="I108" s="126">
        <f t="shared" si="35"/>
        <v>146.995</v>
      </c>
      <c r="J108" s="126">
        <v>126.215</v>
      </c>
      <c r="K108" s="201">
        <v>20.78</v>
      </c>
      <c r="L108" s="201">
        <v>5.84</v>
      </c>
      <c r="M108" s="201">
        <v>4.09</v>
      </c>
      <c r="N108" s="126">
        <v>420.6</v>
      </c>
      <c r="O108" s="129">
        <v>19.853</v>
      </c>
      <c r="P108" s="129">
        <v>10.3</v>
      </c>
      <c r="Q108" s="129">
        <v>16.525</v>
      </c>
      <c r="R108" s="129">
        <f t="shared" si="36"/>
        <v>6.81</v>
      </c>
      <c r="S108" s="129">
        <v>6.47</v>
      </c>
      <c r="T108" s="129">
        <v>0.34</v>
      </c>
      <c r="U108" s="129">
        <f t="shared" si="28"/>
        <v>9.065999999999999</v>
      </c>
      <c r="V108" s="129">
        <v>0.649</v>
      </c>
      <c r="W108" s="246"/>
      <c r="X108" s="126">
        <v>361</v>
      </c>
      <c r="Y108" s="126">
        <v>116.67</v>
      </c>
      <c r="Z108" s="129">
        <v>3.15</v>
      </c>
      <c r="AA108" s="148">
        <v>300.9</v>
      </c>
      <c r="AB108" s="148">
        <v>2355</v>
      </c>
      <c r="AC108" s="129">
        <v>12.7</v>
      </c>
      <c r="AD108" s="129">
        <v>8.8</v>
      </c>
      <c r="AE108" s="129">
        <v>3.9</v>
      </c>
      <c r="AF108" s="129">
        <v>12.7</v>
      </c>
      <c r="AG108" s="231" t="s">
        <v>185</v>
      </c>
      <c r="AH108" s="190">
        <f t="shared" si="33"/>
        <v>380713400</v>
      </c>
      <c r="AI108" s="190">
        <f t="shared" si="34"/>
        <v>200889500</v>
      </c>
      <c r="AJ108" s="126">
        <f t="shared" si="29"/>
        <v>179823900</v>
      </c>
      <c r="AK108" s="126">
        <v>216268300</v>
      </c>
      <c r="AL108" s="126">
        <f t="shared" si="30"/>
        <v>163445100</v>
      </c>
      <c r="AM108" s="126">
        <v>87360200</v>
      </c>
      <c r="AN108" s="126">
        <v>120146700</v>
      </c>
      <c r="AO108" s="126">
        <v>9761400</v>
      </c>
      <c r="AP108" s="231" t="s">
        <v>185</v>
      </c>
      <c r="AQ108" s="126">
        <v>113529300</v>
      </c>
      <c r="AR108" s="126">
        <v>49915800</v>
      </c>
      <c r="AS108" s="126">
        <v>439864119</v>
      </c>
      <c r="AT108" s="202">
        <f t="shared" si="31"/>
        <v>390666600</v>
      </c>
      <c r="AU108" s="126">
        <v>215330500</v>
      </c>
      <c r="AV108" s="126">
        <v>144400800</v>
      </c>
      <c r="AW108" s="126">
        <v>30935300</v>
      </c>
      <c r="AX108" s="126">
        <v>112361000</v>
      </c>
      <c r="AY108" s="126">
        <v>103730166</v>
      </c>
      <c r="AZ108" s="231" t="s">
        <v>185</v>
      </c>
      <c r="BA108" s="126">
        <v>272413482</v>
      </c>
      <c r="BB108" s="126">
        <v>78307127</v>
      </c>
      <c r="BC108" s="126">
        <v>143742544</v>
      </c>
      <c r="BD108" s="126">
        <f t="shared" si="32"/>
        <v>50363811</v>
      </c>
      <c r="BE108" s="231" t="s">
        <v>185</v>
      </c>
      <c r="BF108" s="126">
        <v>71066000</v>
      </c>
      <c r="BG108" s="234"/>
      <c r="BH108" s="231">
        <v>180</v>
      </c>
      <c r="BI108" s="125"/>
    </row>
    <row r="109" spans="1:61" ht="15" customHeight="1">
      <c r="A109" s="125">
        <v>2004</v>
      </c>
      <c r="B109" s="237" t="s">
        <v>245</v>
      </c>
      <c r="C109" s="237" t="s">
        <v>246</v>
      </c>
      <c r="D109" s="126">
        <v>205.7</v>
      </c>
      <c r="E109" s="240"/>
      <c r="F109" s="125">
        <v>598</v>
      </c>
      <c r="G109" s="243" t="s">
        <v>247</v>
      </c>
      <c r="H109" s="243" t="s">
        <v>248</v>
      </c>
      <c r="I109" s="126">
        <f t="shared" si="35"/>
        <v>150.75900000000001</v>
      </c>
      <c r="J109" s="126">
        <v>130.56</v>
      </c>
      <c r="K109" s="201">
        <v>20.199</v>
      </c>
      <c r="L109" s="201">
        <v>6.5</v>
      </c>
      <c r="M109" s="201">
        <v>4.55</v>
      </c>
      <c r="N109" s="126">
        <v>420.6</v>
      </c>
      <c r="O109" s="129">
        <v>20.334</v>
      </c>
      <c r="P109" s="129">
        <v>10.8</v>
      </c>
      <c r="Q109" s="129">
        <v>15.998</v>
      </c>
      <c r="R109" s="129">
        <f t="shared" si="36"/>
        <v>6.699</v>
      </c>
      <c r="S109" s="129">
        <v>6.372</v>
      </c>
      <c r="T109" s="129">
        <v>0.327</v>
      </c>
      <c r="U109" s="129">
        <f t="shared" si="28"/>
        <v>8.629</v>
      </c>
      <c r="V109" s="129">
        <v>0.67</v>
      </c>
      <c r="W109" s="246"/>
      <c r="X109" s="126">
        <v>403</v>
      </c>
      <c r="Y109" s="126">
        <v>118.22</v>
      </c>
      <c r="Z109" s="129">
        <v>3.34</v>
      </c>
      <c r="AA109" s="148">
        <v>300.9</v>
      </c>
      <c r="AB109" s="148">
        <v>3302</v>
      </c>
      <c r="AC109" s="129">
        <v>13.7</v>
      </c>
      <c r="AD109" s="129">
        <v>9</v>
      </c>
      <c r="AE109" s="129">
        <v>4.7</v>
      </c>
      <c r="AF109" s="129">
        <v>13.7</v>
      </c>
      <c r="AG109" s="231" t="s">
        <v>185</v>
      </c>
      <c r="AH109" s="190">
        <f t="shared" si="33"/>
        <v>439111000</v>
      </c>
      <c r="AI109" s="190">
        <f t="shared" si="34"/>
        <v>230137800</v>
      </c>
      <c r="AJ109" s="126">
        <f t="shared" si="29"/>
        <v>208973200</v>
      </c>
      <c r="AK109" s="126">
        <v>238814000</v>
      </c>
      <c r="AL109" s="126">
        <f t="shared" si="30"/>
        <v>200297000</v>
      </c>
      <c r="AM109" s="126">
        <v>98371100</v>
      </c>
      <c r="AN109" s="126">
        <v>130313100</v>
      </c>
      <c r="AO109" s="126">
        <v>10129800</v>
      </c>
      <c r="AP109" s="231" t="s">
        <v>185</v>
      </c>
      <c r="AQ109" s="126">
        <v>131766700</v>
      </c>
      <c r="AR109" s="126">
        <v>68530300</v>
      </c>
      <c r="AS109" s="126">
        <v>511376782</v>
      </c>
      <c r="AT109" s="202">
        <f t="shared" si="31"/>
        <v>467888600</v>
      </c>
      <c r="AU109" s="126">
        <v>246892300</v>
      </c>
      <c r="AV109" s="126">
        <v>169979800</v>
      </c>
      <c r="AW109" s="126">
        <v>51016500</v>
      </c>
      <c r="AX109" s="126">
        <v>153815000</v>
      </c>
      <c r="AY109" s="126">
        <v>112726448</v>
      </c>
      <c r="AZ109" s="231" t="s">
        <v>185</v>
      </c>
      <c r="BA109" s="126">
        <v>526653562</v>
      </c>
      <c r="BB109" s="126">
        <v>231628020</v>
      </c>
      <c r="BC109" s="126">
        <v>235845382</v>
      </c>
      <c r="BD109" s="126">
        <f t="shared" si="32"/>
        <v>59180160</v>
      </c>
      <c r="BE109" s="231" t="s">
        <v>185</v>
      </c>
      <c r="BF109" s="126">
        <v>64324000</v>
      </c>
      <c r="BG109" s="234"/>
      <c r="BH109" s="231">
        <v>180</v>
      </c>
      <c r="BI109" s="125"/>
    </row>
    <row r="110" spans="1:61" ht="15" customHeight="1">
      <c r="A110" s="125">
        <v>2005</v>
      </c>
      <c r="B110" s="237" t="s">
        <v>245</v>
      </c>
      <c r="C110" s="237" t="s">
        <v>246</v>
      </c>
      <c r="D110" s="126">
        <v>207.8</v>
      </c>
      <c r="E110" s="240"/>
      <c r="F110" s="125">
        <v>625</v>
      </c>
      <c r="G110" s="243" t="s">
        <v>247</v>
      </c>
      <c r="H110" s="243" t="s">
        <v>248</v>
      </c>
      <c r="I110" s="126">
        <v>152.44</v>
      </c>
      <c r="J110" s="126">
        <v>132.716</v>
      </c>
      <c r="K110" s="201">
        <v>19.72</v>
      </c>
      <c r="L110" s="201">
        <v>7.15</v>
      </c>
      <c r="M110" s="201">
        <v>5.01</v>
      </c>
      <c r="N110" s="126">
        <v>426.6</v>
      </c>
      <c r="O110" s="129">
        <v>20.353</v>
      </c>
      <c r="P110" s="129">
        <v>10.9</v>
      </c>
      <c r="Q110" s="129">
        <v>15.964</v>
      </c>
      <c r="R110" s="129">
        <f t="shared" si="36"/>
        <v>6.65</v>
      </c>
      <c r="S110" s="129">
        <v>6.33</v>
      </c>
      <c r="T110" s="129">
        <v>0.32</v>
      </c>
      <c r="U110" s="129">
        <f t="shared" si="28"/>
        <v>8.644</v>
      </c>
      <c r="V110" s="129">
        <v>0.67</v>
      </c>
      <c r="W110" s="246"/>
      <c r="X110" s="126">
        <v>489</v>
      </c>
      <c r="Y110" s="126">
        <v>119.96</v>
      </c>
      <c r="Z110" s="129">
        <v>3.43</v>
      </c>
      <c r="AA110" s="148">
        <v>309</v>
      </c>
      <c r="AB110" s="148">
        <v>3590</v>
      </c>
      <c r="AC110" s="129">
        <v>12.6</v>
      </c>
      <c r="AD110" s="129">
        <v>8.7</v>
      </c>
      <c r="AE110" s="129">
        <v>3.9</v>
      </c>
      <c r="AF110" s="129">
        <v>12.6</v>
      </c>
      <c r="AG110" s="231" t="s">
        <v>185</v>
      </c>
      <c r="AH110" s="190">
        <f t="shared" si="33"/>
        <v>459567500</v>
      </c>
      <c r="AI110" s="190">
        <f t="shared" si="34"/>
        <v>244686100</v>
      </c>
      <c r="AJ110" s="126">
        <f t="shared" si="29"/>
        <v>214881400</v>
      </c>
      <c r="AK110" s="126">
        <v>258118800</v>
      </c>
      <c r="AL110" s="126">
        <f t="shared" si="30"/>
        <v>201448700</v>
      </c>
      <c r="AM110" s="126">
        <v>105904500</v>
      </c>
      <c r="AN110" s="126">
        <v>141449100</v>
      </c>
      <c r="AO110" s="126">
        <v>10765200</v>
      </c>
      <c r="AP110" s="231" t="s">
        <v>185</v>
      </c>
      <c r="AQ110" s="126">
        <v>138781600</v>
      </c>
      <c r="AR110" s="126">
        <v>62667100</v>
      </c>
      <c r="AS110" s="126">
        <v>537308000</v>
      </c>
      <c r="AT110" s="202">
        <f t="shared" si="31"/>
        <v>522777300</v>
      </c>
      <c r="AU110" s="126">
        <v>279131800</v>
      </c>
      <c r="AV110" s="126">
        <v>184695100</v>
      </c>
      <c r="AW110" s="126">
        <v>58950400</v>
      </c>
      <c r="AX110" s="126">
        <v>187800100</v>
      </c>
      <c r="AY110" s="126">
        <v>111174919</v>
      </c>
      <c r="AZ110" s="231" t="s">
        <v>185</v>
      </c>
      <c r="BA110" s="126">
        <v>632511701</v>
      </c>
      <c r="BB110" s="126">
        <v>341962164</v>
      </c>
      <c r="BC110" s="126">
        <v>194696306</v>
      </c>
      <c r="BD110" s="126">
        <f t="shared" si="32"/>
        <v>95853231</v>
      </c>
      <c r="BE110" s="231" t="s">
        <v>185</v>
      </c>
      <c r="BF110" s="126">
        <v>54350000</v>
      </c>
      <c r="BG110" s="234"/>
      <c r="BH110" s="231">
        <v>180</v>
      </c>
      <c r="BI110" s="125"/>
    </row>
    <row r="111" spans="1:61" ht="15" customHeight="1">
      <c r="A111" s="188">
        <v>2006</v>
      </c>
      <c r="B111" s="237" t="s">
        <v>245</v>
      </c>
      <c r="C111" s="237" t="s">
        <v>246</v>
      </c>
      <c r="D111" s="126">
        <v>208.2</v>
      </c>
      <c r="E111" s="240"/>
      <c r="F111" s="188">
        <v>613</v>
      </c>
      <c r="G111" s="243" t="s">
        <v>247</v>
      </c>
      <c r="H111" s="243" t="s">
        <v>248</v>
      </c>
      <c r="I111" s="126">
        <f t="shared" si="35"/>
        <v>155.65800000000002</v>
      </c>
      <c r="J111" s="200">
        <v>136.531</v>
      </c>
      <c r="K111" s="204">
        <v>19.127</v>
      </c>
      <c r="L111" s="195">
        <v>7.74</v>
      </c>
      <c r="M111" s="195">
        <v>5.42</v>
      </c>
      <c r="N111" s="190">
        <v>429.5</v>
      </c>
      <c r="O111" s="192">
        <v>20.278</v>
      </c>
      <c r="P111" s="192">
        <v>11.5</v>
      </c>
      <c r="Q111" s="192">
        <v>16.526</v>
      </c>
      <c r="R111" s="129">
        <f t="shared" si="36"/>
        <v>6.636</v>
      </c>
      <c r="S111" s="192">
        <v>6.327</v>
      </c>
      <c r="T111" s="192">
        <v>0.309</v>
      </c>
      <c r="U111" s="192">
        <f t="shared" si="28"/>
        <v>9.177000000000001</v>
      </c>
      <c r="V111" s="192">
        <v>0.713</v>
      </c>
      <c r="W111" s="246"/>
      <c r="X111" s="190">
        <v>418</v>
      </c>
      <c r="Y111" s="126">
        <v>121.82</v>
      </c>
      <c r="Z111" s="192">
        <v>3.58</v>
      </c>
      <c r="AA111" s="148">
        <v>311.4</v>
      </c>
      <c r="AB111" s="148">
        <v>4557</v>
      </c>
      <c r="AC111" s="129">
        <v>13.5</v>
      </c>
      <c r="AD111" s="129">
        <v>8.6</v>
      </c>
      <c r="AE111" s="192">
        <v>4.9</v>
      </c>
      <c r="AF111" s="192">
        <v>13.5</v>
      </c>
      <c r="AG111" s="231" t="s">
        <v>185</v>
      </c>
      <c r="AH111" s="190">
        <f t="shared" si="33"/>
        <v>549589400</v>
      </c>
      <c r="AI111" s="190">
        <f t="shared" si="34"/>
        <v>277572500</v>
      </c>
      <c r="AJ111" s="126">
        <f t="shared" si="29"/>
        <v>272016900</v>
      </c>
      <c r="AK111" s="126">
        <v>303256600</v>
      </c>
      <c r="AL111" s="126">
        <f t="shared" si="30"/>
        <v>246332800</v>
      </c>
      <c r="AM111" s="126">
        <v>120291700</v>
      </c>
      <c r="AN111" s="126">
        <v>169833400</v>
      </c>
      <c r="AO111" s="126">
        <v>13131500</v>
      </c>
      <c r="AP111" s="231" t="s">
        <v>185</v>
      </c>
      <c r="AQ111" s="126">
        <v>157280800</v>
      </c>
      <c r="AR111" s="126">
        <v>89052000</v>
      </c>
      <c r="AS111" s="126">
        <v>640877600</v>
      </c>
      <c r="AT111" s="202">
        <f t="shared" si="31"/>
        <v>585059100</v>
      </c>
      <c r="AU111" s="126">
        <v>304849600</v>
      </c>
      <c r="AV111" s="126">
        <v>210099900</v>
      </c>
      <c r="AW111" s="126">
        <v>70109600</v>
      </c>
      <c r="AX111" s="126">
        <v>218701900</v>
      </c>
      <c r="AY111" s="126">
        <v>115179668</v>
      </c>
      <c r="AZ111" s="231" t="s">
        <v>185</v>
      </c>
      <c r="BA111" s="126">
        <v>717454126</v>
      </c>
      <c r="BB111" s="126">
        <v>377339170</v>
      </c>
      <c r="BC111" s="126">
        <v>261846373</v>
      </c>
      <c r="BD111" s="126">
        <f t="shared" si="32"/>
        <v>78268583</v>
      </c>
      <c r="BE111" s="231" t="s">
        <v>185</v>
      </c>
      <c r="BF111" s="126">
        <v>46480000</v>
      </c>
      <c r="BG111" s="234"/>
      <c r="BH111" s="231">
        <v>180</v>
      </c>
      <c r="BI111" s="125"/>
    </row>
    <row r="112" spans="1:61" ht="15" customHeight="1">
      <c r="A112" s="125">
        <v>2007</v>
      </c>
      <c r="B112" s="237" t="s">
        <v>245</v>
      </c>
      <c r="C112" s="237" t="s">
        <v>246</v>
      </c>
      <c r="D112" s="126">
        <v>208.3</v>
      </c>
      <c r="E112" s="240"/>
      <c r="F112" s="125">
        <v>598</v>
      </c>
      <c r="G112" s="243" t="s">
        <v>247</v>
      </c>
      <c r="H112" s="243" t="s">
        <v>248</v>
      </c>
      <c r="I112" s="126">
        <f t="shared" si="35"/>
        <v>158.819</v>
      </c>
      <c r="J112" s="190">
        <v>140.957</v>
      </c>
      <c r="K112" s="195">
        <v>17.862</v>
      </c>
      <c r="L112" s="201">
        <v>8.35</v>
      </c>
      <c r="M112" s="201">
        <v>5.85</v>
      </c>
      <c r="N112" s="126">
        <v>431.2</v>
      </c>
      <c r="O112" s="129">
        <v>20.517</v>
      </c>
      <c r="P112" s="129">
        <v>10.9</v>
      </c>
      <c r="Q112" s="129">
        <v>16.858</v>
      </c>
      <c r="R112" s="129">
        <f t="shared" si="36"/>
        <v>6.576</v>
      </c>
      <c r="S112" s="129">
        <v>6.287</v>
      </c>
      <c r="T112" s="129">
        <v>0.289</v>
      </c>
      <c r="U112" s="129">
        <f t="shared" si="28"/>
        <v>9.533</v>
      </c>
      <c r="V112" s="129">
        <v>0.749</v>
      </c>
      <c r="W112" s="246"/>
      <c r="X112" s="126">
        <v>437</v>
      </c>
      <c r="Y112" s="126">
        <v>123.79</v>
      </c>
      <c r="Z112" s="129">
        <v>3.78</v>
      </c>
      <c r="AA112" s="200">
        <v>319.2</v>
      </c>
      <c r="AB112" s="200">
        <v>6123</v>
      </c>
      <c r="AC112" s="129">
        <v>14.1</v>
      </c>
      <c r="AD112" s="129">
        <v>8.4</v>
      </c>
      <c r="AE112" s="129">
        <v>5.7</v>
      </c>
      <c r="AF112" s="129">
        <v>14.1</v>
      </c>
      <c r="AG112" s="231" t="s">
        <v>185</v>
      </c>
      <c r="AH112" s="190">
        <f t="shared" si="33"/>
        <v>613507300</v>
      </c>
      <c r="AI112" s="190">
        <f t="shared" si="34"/>
        <v>294842900</v>
      </c>
      <c r="AJ112" s="126">
        <f t="shared" si="29"/>
        <v>318664400</v>
      </c>
      <c r="AK112" s="126">
        <v>337860800</v>
      </c>
      <c r="AL112" s="126">
        <f t="shared" si="30"/>
        <v>275646500</v>
      </c>
      <c r="AM112" s="126">
        <v>129851300</v>
      </c>
      <c r="AN112" s="126">
        <v>192731900</v>
      </c>
      <c r="AO112" s="126">
        <v>15277600</v>
      </c>
      <c r="AP112" s="231" t="s">
        <v>185</v>
      </c>
      <c r="AQ112" s="126">
        <v>164991600</v>
      </c>
      <c r="AR112" s="126">
        <v>110654900</v>
      </c>
      <c r="AS112" s="126">
        <v>707034600</v>
      </c>
      <c r="AT112" s="202">
        <f t="shared" si="31"/>
        <v>673751700</v>
      </c>
      <c r="AU112" s="126">
        <v>357391700</v>
      </c>
      <c r="AV112" s="126">
        <v>234059100</v>
      </c>
      <c r="AW112" s="126">
        <v>82300900</v>
      </c>
      <c r="AX112" s="126">
        <v>267403600</v>
      </c>
      <c r="AY112" s="126">
        <v>138810408</v>
      </c>
      <c r="AZ112" s="231" t="s">
        <v>185</v>
      </c>
      <c r="BA112" s="126">
        <f>BB112+BC112+BD112</f>
        <v>1001406669</v>
      </c>
      <c r="BB112" s="126">
        <v>399207142</v>
      </c>
      <c r="BC112" s="126">
        <v>524855944</v>
      </c>
      <c r="BD112" s="126">
        <v>77343583</v>
      </c>
      <c r="BE112" s="231" t="s">
        <v>185</v>
      </c>
      <c r="BF112" s="126">
        <v>41161000</v>
      </c>
      <c r="BG112" s="234"/>
      <c r="BH112" s="231">
        <v>180</v>
      </c>
      <c r="BI112" s="125"/>
    </row>
    <row r="113" spans="1:61" ht="15" customHeight="1">
      <c r="A113" s="125">
        <v>2008</v>
      </c>
      <c r="B113" s="237" t="s">
        <v>245</v>
      </c>
      <c r="C113" s="237" t="s">
        <v>246</v>
      </c>
      <c r="D113" s="126">
        <v>212.5</v>
      </c>
      <c r="E113" s="240"/>
      <c r="F113" s="125">
        <v>592</v>
      </c>
      <c r="G113" s="243" t="s">
        <v>247</v>
      </c>
      <c r="H113" s="243" t="s">
        <v>248</v>
      </c>
      <c r="I113" s="126">
        <f>J113+K113</f>
        <v>164.032</v>
      </c>
      <c r="J113" s="190">
        <v>147.101</v>
      </c>
      <c r="K113" s="195">
        <v>16.931</v>
      </c>
      <c r="L113" s="201">
        <v>8.74</v>
      </c>
      <c r="M113" s="201">
        <v>6.12</v>
      </c>
      <c r="N113" s="126">
        <v>439.6</v>
      </c>
      <c r="O113" s="129">
        <v>20.236</v>
      </c>
      <c r="P113" s="129">
        <v>12.038</v>
      </c>
      <c r="Q113" s="129">
        <f>R113+U113+V113</f>
        <v>16.58</v>
      </c>
      <c r="R113" s="129">
        <f>S113+T113</f>
        <v>6.611</v>
      </c>
      <c r="S113" s="129">
        <v>6.337</v>
      </c>
      <c r="T113" s="129">
        <v>0.274</v>
      </c>
      <c r="U113" s="129">
        <v>9.219</v>
      </c>
      <c r="V113" s="129">
        <v>0.75</v>
      </c>
      <c r="W113" s="246"/>
      <c r="X113" s="126">
        <v>574</v>
      </c>
      <c r="Y113" s="126">
        <v>128.056</v>
      </c>
      <c r="Z113" s="129">
        <v>4.13</v>
      </c>
      <c r="AA113" s="200">
        <v>320.9</v>
      </c>
      <c r="AB113" s="200">
        <v>6759</v>
      </c>
      <c r="AC113" s="129">
        <v>13.853</v>
      </c>
      <c r="AD113" s="129">
        <v>8.3</v>
      </c>
      <c r="AE113" s="129">
        <v>5.548</v>
      </c>
      <c r="AF113" s="129">
        <v>13.85</v>
      </c>
      <c r="AG113" s="231" t="s">
        <v>185</v>
      </c>
      <c r="AH113" s="190">
        <f>AI113+AJ113</f>
        <v>662129900</v>
      </c>
      <c r="AI113" s="190">
        <f>AM113+AQ113</f>
        <v>318631700</v>
      </c>
      <c r="AJ113" s="126">
        <f>AN113+AO113+AR113</f>
        <v>343498200</v>
      </c>
      <c r="AK113" s="126">
        <f>AM113+AN113+AO113</f>
        <v>379316700</v>
      </c>
      <c r="AL113" s="126">
        <f>AQ113+AR113</f>
        <v>282813200</v>
      </c>
      <c r="AM113" s="126">
        <v>148933000</v>
      </c>
      <c r="AN113" s="126">
        <v>212770800</v>
      </c>
      <c r="AO113" s="126">
        <v>17612900</v>
      </c>
      <c r="AP113" s="231" t="s">
        <v>185</v>
      </c>
      <c r="AQ113" s="126">
        <v>169698700</v>
      </c>
      <c r="AR113" s="126">
        <v>113114500</v>
      </c>
      <c r="AS113" s="126">
        <v>753562290</v>
      </c>
      <c r="AT113" s="202">
        <f>AU113+AV113+AW113</f>
        <v>798647800</v>
      </c>
      <c r="AU113" s="126">
        <v>416941300</v>
      </c>
      <c r="AV113" s="126">
        <v>263299300</v>
      </c>
      <c r="AW113" s="126">
        <v>118407200</v>
      </c>
      <c r="AX113" s="126">
        <v>325477000</v>
      </c>
      <c r="AY113" s="126">
        <v>154496900</v>
      </c>
      <c r="AZ113" s="231" t="s">
        <v>185</v>
      </c>
      <c r="BA113" s="126">
        <f>BB113+BC113+BD113</f>
        <v>1002946404</v>
      </c>
      <c r="BB113" s="126">
        <v>400141568</v>
      </c>
      <c r="BC113" s="126">
        <v>525249900</v>
      </c>
      <c r="BD113" s="126">
        <v>77554936</v>
      </c>
      <c r="BE113" s="231" t="s">
        <v>185</v>
      </c>
      <c r="BF113" s="126">
        <v>31423000</v>
      </c>
      <c r="BG113" s="234"/>
      <c r="BH113" s="231">
        <v>180</v>
      </c>
      <c r="BI113" s="125"/>
    </row>
    <row r="114" spans="1:61" ht="15" customHeight="1">
      <c r="A114" s="125">
        <v>2009</v>
      </c>
      <c r="B114" s="237" t="s">
        <v>245</v>
      </c>
      <c r="C114" s="237" t="s">
        <v>246</v>
      </c>
      <c r="D114" s="126">
        <v>212.6</v>
      </c>
      <c r="E114" s="240"/>
      <c r="F114" s="125">
        <v>603</v>
      </c>
      <c r="G114" s="243" t="s">
        <v>247</v>
      </c>
      <c r="H114" s="243" t="s">
        <v>248</v>
      </c>
      <c r="I114" s="126">
        <f>J114+K114</f>
        <v>167.7</v>
      </c>
      <c r="J114" s="190">
        <v>150.7</v>
      </c>
      <c r="K114" s="195">
        <v>17</v>
      </c>
      <c r="L114" s="201">
        <v>9.59</v>
      </c>
      <c r="M114" s="201">
        <v>6.4</v>
      </c>
      <c r="N114" s="126">
        <v>462.486</v>
      </c>
      <c r="O114" s="129">
        <v>17.757</v>
      </c>
      <c r="P114" s="129">
        <v>11.94</v>
      </c>
      <c r="Q114" s="129">
        <f>R114+U114+V114</f>
        <v>15.778</v>
      </c>
      <c r="R114" s="129">
        <v>6.306</v>
      </c>
      <c r="S114" s="129">
        <v>6.04</v>
      </c>
      <c r="T114" s="129">
        <v>0.27</v>
      </c>
      <c r="U114" s="129">
        <v>8.721</v>
      </c>
      <c r="V114" s="129">
        <v>0.751</v>
      </c>
      <c r="W114" s="246"/>
      <c r="X114" s="126">
        <v>615</v>
      </c>
      <c r="Y114" s="126">
        <v>132.7</v>
      </c>
      <c r="Z114" s="129">
        <v>4.32</v>
      </c>
      <c r="AA114" s="200">
        <v>330.489</v>
      </c>
      <c r="AB114" s="200">
        <v>6439</v>
      </c>
      <c r="AC114" s="129">
        <f>AD114+AE114</f>
        <v>13.344000000000001</v>
      </c>
      <c r="AD114" s="129">
        <v>7.787</v>
      </c>
      <c r="AE114" s="129">
        <v>5.557</v>
      </c>
      <c r="AF114" s="129">
        <v>13.34</v>
      </c>
      <c r="AG114" s="231" t="s">
        <v>185</v>
      </c>
      <c r="AH114" s="190">
        <f>AI114+AJ114</f>
        <v>723255800</v>
      </c>
      <c r="AI114" s="190">
        <f>AM114+AQ114</f>
        <v>343275200</v>
      </c>
      <c r="AJ114" s="126">
        <f>AN114+AO114+AR114</f>
        <v>379980600</v>
      </c>
      <c r="AK114" s="126">
        <f>AM114+AN114+AO114</f>
        <v>416353700</v>
      </c>
      <c r="AL114" s="126">
        <f>AQ114+AR114</f>
        <v>306902100</v>
      </c>
      <c r="AM114" s="126">
        <v>164177900</v>
      </c>
      <c r="AN114" s="126">
        <v>231886100</v>
      </c>
      <c r="AO114" s="126">
        <v>20289700</v>
      </c>
      <c r="AP114" s="231" t="s">
        <v>185</v>
      </c>
      <c r="AQ114" s="126">
        <v>179097300</v>
      </c>
      <c r="AR114" s="126">
        <v>127804800</v>
      </c>
      <c r="AS114" s="126">
        <v>807461000</v>
      </c>
      <c r="AT114" s="202">
        <f>AU114+AV114+AW114</f>
        <v>763456000</v>
      </c>
      <c r="AU114" s="126">
        <v>423601000</v>
      </c>
      <c r="AV114" s="126">
        <v>251567400</v>
      </c>
      <c r="AW114" s="126">
        <v>88287600</v>
      </c>
      <c r="AX114" s="126">
        <v>286086100</v>
      </c>
      <c r="AY114" s="126">
        <v>168635000</v>
      </c>
      <c r="AZ114" s="231" t="s">
        <v>185</v>
      </c>
      <c r="BA114" s="126">
        <f>BB114+BC114+BD114</f>
        <v>1492858500</v>
      </c>
      <c r="BB114" s="126">
        <v>747635900</v>
      </c>
      <c r="BC114" s="126">
        <v>605979000</v>
      </c>
      <c r="BD114" s="126">
        <v>139243600</v>
      </c>
      <c r="BE114" s="231" t="s">
        <v>185</v>
      </c>
      <c r="BF114" s="126">
        <v>43989000</v>
      </c>
      <c r="BG114" s="234"/>
      <c r="BH114" s="231">
        <v>180</v>
      </c>
      <c r="BI114" s="125">
        <v>23.5</v>
      </c>
    </row>
    <row r="115" spans="1:61" ht="15" customHeight="1">
      <c r="A115" s="125">
        <v>2010</v>
      </c>
      <c r="B115" s="238" t="s">
        <v>245</v>
      </c>
      <c r="C115" s="238" t="s">
        <v>246</v>
      </c>
      <c r="D115" s="126">
        <v>215.4</v>
      </c>
      <c r="E115" s="241"/>
      <c r="F115" s="125">
        <v>599</v>
      </c>
      <c r="G115" s="244" t="s">
        <v>247</v>
      </c>
      <c r="H115" s="244" t="s">
        <v>248</v>
      </c>
      <c r="I115" s="126">
        <f>J115+K115</f>
        <v>171.4</v>
      </c>
      <c r="J115" s="190">
        <v>156.4</v>
      </c>
      <c r="K115" s="195">
        <v>15</v>
      </c>
      <c r="L115" s="201">
        <v>10.48</v>
      </c>
      <c r="M115" s="201">
        <v>7.03</v>
      </c>
      <c r="N115" s="126">
        <v>470.01</v>
      </c>
      <c r="O115" s="129">
        <v>17.581</v>
      </c>
      <c r="P115" s="129">
        <v>12.2</v>
      </c>
      <c r="Q115" s="129">
        <f>R115+U115+V115</f>
        <v>15.334999999999999</v>
      </c>
      <c r="R115" s="129">
        <v>6.29</v>
      </c>
      <c r="S115" s="129">
        <v>6.05</v>
      </c>
      <c r="T115" s="129">
        <v>0.24</v>
      </c>
      <c r="U115" s="129">
        <v>8.264</v>
      </c>
      <c r="V115" s="129">
        <v>0.781</v>
      </c>
      <c r="W115" s="247"/>
      <c r="X115" s="126">
        <v>625</v>
      </c>
      <c r="Y115" s="126">
        <v>135.7</v>
      </c>
      <c r="Z115" s="129">
        <v>4.5</v>
      </c>
      <c r="AA115" s="200">
        <v>338.082</v>
      </c>
      <c r="AB115" s="200">
        <v>7584</v>
      </c>
      <c r="AC115" s="129">
        <f>AD115+AE115</f>
        <v>12.972999999999999</v>
      </c>
      <c r="AD115" s="129">
        <v>7.446</v>
      </c>
      <c r="AE115" s="129">
        <v>5.527</v>
      </c>
      <c r="AF115" s="129">
        <v>12.97</v>
      </c>
      <c r="AG115" s="232" t="s">
        <v>185</v>
      </c>
      <c r="AH115" s="190">
        <f>AI115+AJ115</f>
        <v>782349300</v>
      </c>
      <c r="AI115" s="190">
        <f>AM115+AQ115</f>
        <v>374160900</v>
      </c>
      <c r="AJ115" s="126">
        <f>AN115+AO115+AR115</f>
        <v>408188400</v>
      </c>
      <c r="AK115" s="126">
        <f>AM115+AN115+AO115</f>
        <v>450474300</v>
      </c>
      <c r="AL115" s="126">
        <f>AQ115+AR115</f>
        <v>331875000</v>
      </c>
      <c r="AM115" s="126">
        <v>183784300</v>
      </c>
      <c r="AN115" s="126">
        <v>243119100</v>
      </c>
      <c r="AO115" s="126">
        <v>23570900</v>
      </c>
      <c r="AP115" s="232" t="s">
        <v>185</v>
      </c>
      <c r="AQ115" s="126">
        <v>190376600</v>
      </c>
      <c r="AR115" s="126">
        <v>141498400</v>
      </c>
      <c r="AS115" s="126">
        <v>884563000</v>
      </c>
      <c r="AT115" s="202">
        <f>AU115+AV115+AW115</f>
        <v>830942100</v>
      </c>
      <c r="AU115" s="126">
        <v>458274200</v>
      </c>
      <c r="AV115" s="126">
        <v>280988500</v>
      </c>
      <c r="AW115" s="126">
        <v>91679400</v>
      </c>
      <c r="AX115" s="126">
        <v>287928300</v>
      </c>
      <c r="AY115" s="126">
        <v>221867100</v>
      </c>
      <c r="AZ115" s="232" t="s">
        <v>185</v>
      </c>
      <c r="BA115" s="126">
        <f>BB115+BC115+BD115</f>
        <v>1822429500</v>
      </c>
      <c r="BB115" s="126">
        <v>844752300</v>
      </c>
      <c r="BC115" s="126">
        <v>837276000</v>
      </c>
      <c r="BD115" s="126">
        <v>140401200</v>
      </c>
      <c r="BE115" s="232" t="s">
        <v>185</v>
      </c>
      <c r="BF115" s="126">
        <v>44452000</v>
      </c>
      <c r="BG115" s="235"/>
      <c r="BH115" s="232">
        <v>180</v>
      </c>
      <c r="BI115" s="125">
        <v>24</v>
      </c>
    </row>
    <row r="116" spans="1:60" s="74" customFormat="1" ht="6" customHeight="1" thickBot="1">
      <c r="A116" s="76"/>
      <c r="B116" s="81"/>
      <c r="C116" s="81"/>
      <c r="D116" s="75"/>
      <c r="E116" s="78"/>
      <c r="H116" s="82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4"/>
      <c r="U116" s="83"/>
      <c r="V116" s="83"/>
      <c r="W116" s="83"/>
      <c r="X116" s="78"/>
      <c r="Y116" s="83"/>
      <c r="Z116" s="83"/>
      <c r="AA116" s="83"/>
      <c r="AB116" s="78"/>
      <c r="AC116" s="83"/>
      <c r="AD116" s="83"/>
      <c r="AE116" s="83"/>
      <c r="AF116" s="83"/>
      <c r="AG116" s="83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85"/>
    </row>
    <row r="117" spans="1:61" ht="24" customHeight="1">
      <c r="A117" s="205" t="s">
        <v>251</v>
      </c>
      <c r="B117" s="292" t="s">
        <v>249</v>
      </c>
      <c r="C117" s="292" t="s">
        <v>250</v>
      </c>
      <c r="D117" s="127">
        <v>203</v>
      </c>
      <c r="E117" s="233">
        <v>19</v>
      </c>
      <c r="F117" s="124">
        <v>742</v>
      </c>
      <c r="G117" s="269" t="s">
        <v>186</v>
      </c>
      <c r="H117" s="242" t="s">
        <v>220</v>
      </c>
      <c r="I117" s="126">
        <v>168.8</v>
      </c>
      <c r="J117" s="127">
        <v>151.8</v>
      </c>
      <c r="K117" s="150">
        <v>17</v>
      </c>
      <c r="L117" s="150">
        <v>21.376</v>
      </c>
      <c r="M117" s="150">
        <v>3</v>
      </c>
      <c r="N117" s="127">
        <v>556.09</v>
      </c>
      <c r="O117" s="128">
        <v>12.9</v>
      </c>
      <c r="P117" s="128">
        <v>2.562</v>
      </c>
      <c r="Q117" s="128">
        <v>5.4</v>
      </c>
      <c r="R117" s="128">
        <v>3.6</v>
      </c>
      <c r="S117" s="128">
        <v>3.58</v>
      </c>
      <c r="T117" s="128">
        <v>0.02</v>
      </c>
      <c r="U117" s="128">
        <v>1.4</v>
      </c>
      <c r="V117" s="128">
        <v>0.4</v>
      </c>
      <c r="W117" s="128">
        <v>0.74</v>
      </c>
      <c r="X117" s="127">
        <v>1049</v>
      </c>
      <c r="Y117" s="126">
        <v>104.9</v>
      </c>
      <c r="Z117" s="129">
        <v>1.55</v>
      </c>
      <c r="AA117" s="130">
        <v>224.46</v>
      </c>
      <c r="AB117" s="130">
        <v>1925</v>
      </c>
      <c r="AC117" s="129">
        <v>3.7</v>
      </c>
      <c r="AD117" s="129">
        <v>2.2</v>
      </c>
      <c r="AE117" s="128">
        <v>1.5</v>
      </c>
      <c r="AF117" s="128">
        <v>1.4</v>
      </c>
      <c r="AG117" s="128" t="s">
        <v>241</v>
      </c>
      <c r="AH117" s="127">
        <v>262250400</v>
      </c>
      <c r="AI117" s="127">
        <v>107469400</v>
      </c>
      <c r="AJ117" s="127">
        <v>154781000</v>
      </c>
      <c r="AK117" s="127">
        <v>188659800</v>
      </c>
      <c r="AL117" s="127">
        <v>73590600</v>
      </c>
      <c r="AM117" s="127">
        <v>63885400</v>
      </c>
      <c r="AN117" s="127">
        <v>117443300</v>
      </c>
      <c r="AO117" s="127">
        <v>7331050</v>
      </c>
      <c r="AP117" s="127">
        <v>24886162.45</v>
      </c>
      <c r="AQ117" s="127">
        <v>43584000</v>
      </c>
      <c r="AR117" s="127">
        <v>30006600</v>
      </c>
      <c r="AS117" s="127">
        <v>249081066</v>
      </c>
      <c r="AT117" s="131">
        <v>316176000</v>
      </c>
      <c r="AU117" s="127">
        <v>160807400</v>
      </c>
      <c r="AV117" s="127">
        <v>93832600</v>
      </c>
      <c r="AW117" s="127">
        <v>61536000</v>
      </c>
      <c r="AX117" s="127">
        <v>126179600</v>
      </c>
      <c r="AY117" s="127">
        <v>48895400</v>
      </c>
      <c r="AZ117" s="248" t="s">
        <v>185</v>
      </c>
      <c r="BA117" s="126">
        <v>4019605000</v>
      </c>
      <c r="BB117" s="127">
        <v>2644551000</v>
      </c>
      <c r="BC117" s="127">
        <v>1315074000</v>
      </c>
      <c r="BD117" s="127">
        <v>59980000</v>
      </c>
      <c r="BE117" s="248" t="s">
        <v>185</v>
      </c>
      <c r="BF117" s="127">
        <v>61570000</v>
      </c>
      <c r="BG117" s="233" t="s">
        <v>184</v>
      </c>
      <c r="BH117" s="293">
        <v>220</v>
      </c>
      <c r="BI117" s="109"/>
    </row>
    <row r="118" spans="1:61" ht="15" customHeight="1">
      <c r="A118" s="205">
        <v>2007</v>
      </c>
      <c r="B118" s="274" t="s">
        <v>252</v>
      </c>
      <c r="C118" s="274" t="s">
        <v>250</v>
      </c>
      <c r="D118" s="127">
        <v>208</v>
      </c>
      <c r="E118" s="234"/>
      <c r="F118" s="124">
        <v>767</v>
      </c>
      <c r="G118" s="270" t="s">
        <v>186</v>
      </c>
      <c r="H118" s="243" t="s">
        <v>220</v>
      </c>
      <c r="I118" s="126">
        <v>182</v>
      </c>
      <c r="J118" s="127">
        <v>168.5</v>
      </c>
      <c r="K118" s="150">
        <v>13.5</v>
      </c>
      <c r="L118" s="150">
        <v>23.164</v>
      </c>
      <c r="M118" s="150">
        <v>3.9</v>
      </c>
      <c r="N118" s="127">
        <v>654.37</v>
      </c>
      <c r="O118" s="128">
        <v>24.7</v>
      </c>
      <c r="P118" s="128">
        <v>6.259</v>
      </c>
      <c r="Q118" s="128">
        <v>12</v>
      </c>
      <c r="R118" s="128">
        <v>8.2</v>
      </c>
      <c r="S118" s="128">
        <v>8.19</v>
      </c>
      <c r="T118" s="128">
        <v>0.013</v>
      </c>
      <c r="U118" s="128">
        <v>3.1</v>
      </c>
      <c r="V118" s="128">
        <v>0.7</v>
      </c>
      <c r="W118" s="128">
        <v>1.97</v>
      </c>
      <c r="X118" s="127">
        <v>2140</v>
      </c>
      <c r="Y118" s="126">
        <v>108.4</v>
      </c>
      <c r="Z118" s="129">
        <v>2.17</v>
      </c>
      <c r="AA118" s="130">
        <v>214</v>
      </c>
      <c r="AB118" s="130">
        <v>3733</v>
      </c>
      <c r="AC118" s="129">
        <v>7.9</v>
      </c>
      <c r="AD118" s="129">
        <v>4.9</v>
      </c>
      <c r="AE118" s="128">
        <v>3</v>
      </c>
      <c r="AF118" s="128">
        <v>3</v>
      </c>
      <c r="AG118" s="128" t="s">
        <v>241</v>
      </c>
      <c r="AH118" s="127">
        <v>619834200</v>
      </c>
      <c r="AI118" s="127">
        <v>241938300</v>
      </c>
      <c r="AJ118" s="127">
        <v>377895900</v>
      </c>
      <c r="AK118" s="127">
        <v>462960800</v>
      </c>
      <c r="AL118" s="127">
        <v>156873400</v>
      </c>
      <c r="AM118" s="127">
        <v>145779900</v>
      </c>
      <c r="AN118" s="127">
        <v>255788400</v>
      </c>
      <c r="AO118" s="127">
        <v>61392500</v>
      </c>
      <c r="AP118" s="127">
        <v>66087205</v>
      </c>
      <c r="AQ118" s="127">
        <v>96158400</v>
      </c>
      <c r="AR118" s="127">
        <v>60715000</v>
      </c>
      <c r="AS118" s="127">
        <v>713829517</v>
      </c>
      <c r="AT118" s="131">
        <v>766458000</v>
      </c>
      <c r="AU118" s="127">
        <v>406121400</v>
      </c>
      <c r="AV118" s="127">
        <v>232482600</v>
      </c>
      <c r="AW118" s="127">
        <v>127854000</v>
      </c>
      <c r="AX118" s="127">
        <v>296521000</v>
      </c>
      <c r="AY118" s="127">
        <v>121030900</v>
      </c>
      <c r="AZ118" s="249"/>
      <c r="BA118" s="126">
        <v>3941070000</v>
      </c>
      <c r="BB118" s="127">
        <v>2545623000</v>
      </c>
      <c r="BC118" s="127">
        <v>1332581000</v>
      </c>
      <c r="BD118" s="127">
        <v>62866000</v>
      </c>
      <c r="BE118" s="249" t="s">
        <v>185</v>
      </c>
      <c r="BF118" s="127">
        <v>72550000</v>
      </c>
      <c r="BG118" s="234"/>
      <c r="BH118" s="295"/>
      <c r="BI118" s="109"/>
    </row>
    <row r="119" spans="1:61" ht="15" customHeight="1">
      <c r="A119" s="205">
        <v>2008</v>
      </c>
      <c r="B119" s="274" t="s">
        <v>249</v>
      </c>
      <c r="C119" s="274" t="s">
        <v>250</v>
      </c>
      <c r="D119" s="127">
        <v>218</v>
      </c>
      <c r="E119" s="235"/>
      <c r="F119" s="124">
        <v>784</v>
      </c>
      <c r="G119" s="270" t="s">
        <v>186</v>
      </c>
      <c r="H119" s="243" t="s">
        <v>220</v>
      </c>
      <c r="I119" s="126">
        <v>189.3</v>
      </c>
      <c r="J119" s="127">
        <v>176</v>
      </c>
      <c r="K119" s="150">
        <v>13.3</v>
      </c>
      <c r="L119" s="150">
        <v>21.3</v>
      </c>
      <c r="M119" s="150">
        <v>4.5</v>
      </c>
      <c r="N119" s="127">
        <v>752</v>
      </c>
      <c r="O119" s="128">
        <v>24.3</v>
      </c>
      <c r="P119" s="128">
        <v>7.3</v>
      </c>
      <c r="Q119" s="128">
        <v>12.7</v>
      </c>
      <c r="R119" s="128">
        <v>9</v>
      </c>
      <c r="S119" s="128">
        <v>8.93</v>
      </c>
      <c r="T119" s="128">
        <v>0.02</v>
      </c>
      <c r="U119" s="128">
        <v>3</v>
      </c>
      <c r="V119" s="128">
        <v>0.7</v>
      </c>
      <c r="W119" s="128">
        <v>1.97</v>
      </c>
      <c r="X119" s="127">
        <v>2445</v>
      </c>
      <c r="Y119" s="126">
        <v>116.02</v>
      </c>
      <c r="Z119" s="129">
        <v>2.4</v>
      </c>
      <c r="AA119" s="130">
        <v>253</v>
      </c>
      <c r="AB119" s="130">
        <v>2854</v>
      </c>
      <c r="AC119" s="129">
        <v>8.5</v>
      </c>
      <c r="AD119" s="129">
        <v>5.6</v>
      </c>
      <c r="AE119" s="128">
        <v>2.2</v>
      </c>
      <c r="AF119" s="128">
        <v>3.2</v>
      </c>
      <c r="AG119" s="128" t="s">
        <v>241</v>
      </c>
      <c r="AH119" s="127">
        <v>675625900</v>
      </c>
      <c r="AI119" s="127">
        <v>306656300</v>
      </c>
      <c r="AJ119" s="127">
        <v>292024800</v>
      </c>
      <c r="AK119" s="127">
        <v>506042520</v>
      </c>
      <c r="AL119" s="127">
        <v>169583400</v>
      </c>
      <c r="AM119" s="127">
        <v>196339100</v>
      </c>
      <c r="AN119" s="127">
        <v>247610100</v>
      </c>
      <c r="AO119" s="127">
        <v>62093400</v>
      </c>
      <c r="AP119" s="127">
        <v>69096200</v>
      </c>
      <c r="AQ119" s="127">
        <v>14851500</v>
      </c>
      <c r="AR119" s="127">
        <v>44414700</v>
      </c>
      <c r="AS119" s="127">
        <v>739615749</v>
      </c>
      <c r="AT119" s="131">
        <v>866267300</v>
      </c>
      <c r="AU119" s="127">
        <v>573251900</v>
      </c>
      <c r="AV119" s="127">
        <v>293015400</v>
      </c>
      <c r="AW119" s="127">
        <v>74924000</v>
      </c>
      <c r="AX119" s="127">
        <v>359551400</v>
      </c>
      <c r="AY119" s="127">
        <v>139954400</v>
      </c>
      <c r="AZ119" s="249"/>
      <c r="BA119" s="126">
        <v>5421554500</v>
      </c>
      <c r="BB119" s="127">
        <v>3409306100</v>
      </c>
      <c r="BC119" s="127">
        <v>1911269800</v>
      </c>
      <c r="BD119" s="127">
        <v>100978600</v>
      </c>
      <c r="BE119" s="249" t="s">
        <v>185</v>
      </c>
      <c r="BF119" s="127">
        <v>69000000</v>
      </c>
      <c r="BG119" s="234"/>
      <c r="BH119" s="293">
        <v>330</v>
      </c>
      <c r="BI119" s="109"/>
    </row>
    <row r="120" spans="1:61" ht="15" customHeight="1">
      <c r="A120" s="206">
        <v>2009</v>
      </c>
      <c r="B120" s="274" t="s">
        <v>252</v>
      </c>
      <c r="C120" s="274" t="s">
        <v>250</v>
      </c>
      <c r="D120" s="127">
        <v>221.4</v>
      </c>
      <c r="E120" s="123">
        <v>20</v>
      </c>
      <c r="F120" s="124">
        <v>783</v>
      </c>
      <c r="G120" s="270" t="s">
        <v>186</v>
      </c>
      <c r="H120" s="243" t="s">
        <v>220</v>
      </c>
      <c r="I120" s="126">
        <v>196.4</v>
      </c>
      <c r="J120" s="127">
        <v>188.4</v>
      </c>
      <c r="K120" s="150">
        <v>8</v>
      </c>
      <c r="L120" s="150">
        <v>22.5</v>
      </c>
      <c r="M120" s="150">
        <v>5.15</v>
      </c>
      <c r="N120" s="127">
        <v>789.7</v>
      </c>
      <c r="O120" s="128">
        <v>24.91</v>
      </c>
      <c r="P120" s="128"/>
      <c r="Q120" s="128">
        <v>14.06</v>
      </c>
      <c r="R120" s="128"/>
      <c r="S120" s="128">
        <v>9.08</v>
      </c>
      <c r="T120" s="128">
        <v>0.02</v>
      </c>
      <c r="U120" s="128">
        <v>2.72</v>
      </c>
      <c r="V120" s="128">
        <v>0.91</v>
      </c>
      <c r="W120" s="128">
        <v>1.29</v>
      </c>
      <c r="X120" s="127">
        <v>2180</v>
      </c>
      <c r="Y120" s="126">
        <v>121</v>
      </c>
      <c r="Z120" s="129">
        <v>2.65</v>
      </c>
      <c r="AA120" s="130">
        <v>254.4</v>
      </c>
      <c r="AB120" s="130">
        <v>3628</v>
      </c>
      <c r="AC120" s="129">
        <v>10.07</v>
      </c>
      <c r="AD120" s="129">
        <v>7.47</v>
      </c>
      <c r="AE120" s="128">
        <v>2.6</v>
      </c>
      <c r="AF120" s="128">
        <v>3.42</v>
      </c>
      <c r="AG120" s="128"/>
      <c r="AH120" s="127">
        <v>855689600</v>
      </c>
      <c r="AI120" s="127">
        <v>338211883</v>
      </c>
      <c r="AJ120" s="127">
        <v>422808750</v>
      </c>
      <c r="AK120" s="127">
        <v>620496400</v>
      </c>
      <c r="AL120" s="127">
        <v>235193200</v>
      </c>
      <c r="AM120" s="127">
        <v>191759863</v>
      </c>
      <c r="AN120" s="127">
        <v>334067532</v>
      </c>
      <c r="AO120" s="127">
        <v>94669047</v>
      </c>
      <c r="AP120" s="127"/>
      <c r="AQ120" s="127">
        <v>14851500</v>
      </c>
      <c r="AR120" s="127">
        <v>14619107</v>
      </c>
      <c r="AS120" s="127">
        <v>1050361861</v>
      </c>
      <c r="AT120" s="131">
        <v>1039134000</v>
      </c>
      <c r="AU120" s="127">
        <v>661449120</v>
      </c>
      <c r="AV120" s="127">
        <v>316755600</v>
      </c>
      <c r="AW120" s="127">
        <v>118713200</v>
      </c>
      <c r="AX120" s="127">
        <v>412530200</v>
      </c>
      <c r="AY120" s="127">
        <v>182230100</v>
      </c>
      <c r="AZ120" s="249"/>
      <c r="BA120" s="126">
        <v>8901455000</v>
      </c>
      <c r="BB120" s="127">
        <v>5367264000</v>
      </c>
      <c r="BC120" s="127">
        <v>3217755000</v>
      </c>
      <c r="BD120" s="127">
        <v>316435000</v>
      </c>
      <c r="BE120" s="249" t="s">
        <v>185</v>
      </c>
      <c r="BF120" s="127">
        <v>83000000</v>
      </c>
      <c r="BG120" s="234"/>
      <c r="BH120" s="294">
        <v>330</v>
      </c>
      <c r="BI120" s="109">
        <v>19.27</v>
      </c>
    </row>
    <row r="121" spans="1:61" ht="15" customHeight="1">
      <c r="A121" s="205">
        <v>2010</v>
      </c>
      <c r="B121" s="275" t="s">
        <v>252</v>
      </c>
      <c r="C121" s="275" t="s">
        <v>250</v>
      </c>
      <c r="D121" s="127">
        <v>224.8</v>
      </c>
      <c r="E121" s="123">
        <v>21</v>
      </c>
      <c r="F121" s="124">
        <v>851</v>
      </c>
      <c r="G121" s="271" t="s">
        <v>186</v>
      </c>
      <c r="H121" s="244" t="s">
        <v>220</v>
      </c>
      <c r="I121" s="126">
        <v>210.1</v>
      </c>
      <c r="J121" s="127">
        <v>209.7</v>
      </c>
      <c r="K121" s="150">
        <v>0.4</v>
      </c>
      <c r="L121" s="150">
        <v>24.6</v>
      </c>
      <c r="M121" s="150">
        <v>5.58</v>
      </c>
      <c r="N121" s="127">
        <v>844.5</v>
      </c>
      <c r="O121" s="128">
        <v>24.86</v>
      </c>
      <c r="P121" s="128">
        <v>7.3</v>
      </c>
      <c r="Q121" s="128">
        <v>15.33</v>
      </c>
      <c r="R121" s="128">
        <v>11.16</v>
      </c>
      <c r="S121" s="128">
        <v>9.45</v>
      </c>
      <c r="T121" s="128">
        <v>0.01</v>
      </c>
      <c r="U121" s="128">
        <v>3.19</v>
      </c>
      <c r="V121" s="128">
        <v>0.99</v>
      </c>
      <c r="W121" s="128">
        <v>1.09</v>
      </c>
      <c r="X121" s="127">
        <v>3063</v>
      </c>
      <c r="Y121" s="126">
        <v>126</v>
      </c>
      <c r="Z121" s="129">
        <v>2.85</v>
      </c>
      <c r="AA121" s="123">
        <v>265.69</v>
      </c>
      <c r="AB121" s="123">
        <v>3857</v>
      </c>
      <c r="AC121" s="129">
        <v>10.78</v>
      </c>
      <c r="AD121" s="129">
        <v>7.8</v>
      </c>
      <c r="AE121" s="128">
        <v>2.98</v>
      </c>
      <c r="AF121" s="128">
        <v>5.26</v>
      </c>
      <c r="AG121" s="128"/>
      <c r="AH121" s="127">
        <v>1003970100</v>
      </c>
      <c r="AI121" s="127">
        <v>387984164</v>
      </c>
      <c r="AJ121" s="127">
        <v>462266400</v>
      </c>
      <c r="AK121" s="127">
        <v>719646200</v>
      </c>
      <c r="AL121" s="127">
        <v>284323900</v>
      </c>
      <c r="AM121" s="127">
        <v>225688555</v>
      </c>
      <c r="AN121" s="127">
        <v>366752228</v>
      </c>
      <c r="AO121" s="127">
        <v>122929831</v>
      </c>
      <c r="AP121" s="127"/>
      <c r="AQ121" s="127">
        <v>14851500</v>
      </c>
      <c r="AR121" s="127">
        <v>16229561</v>
      </c>
      <c r="AS121" s="127">
        <v>871071383</v>
      </c>
      <c r="AT121" s="131">
        <v>1202178000</v>
      </c>
      <c r="AU121" s="127">
        <v>791643700</v>
      </c>
      <c r="AV121" s="127">
        <v>359925500</v>
      </c>
      <c r="AW121" s="127">
        <v>141845500</v>
      </c>
      <c r="AX121" s="127">
        <v>445618300</v>
      </c>
      <c r="AY121" s="127">
        <v>265135500</v>
      </c>
      <c r="AZ121" s="250"/>
      <c r="BA121" s="126">
        <v>16796757000</v>
      </c>
      <c r="BB121" s="127">
        <v>13966745000</v>
      </c>
      <c r="BC121" s="127">
        <v>2467601000</v>
      </c>
      <c r="BD121" s="127">
        <v>124017000</v>
      </c>
      <c r="BE121" s="250" t="s">
        <v>185</v>
      </c>
      <c r="BF121" s="127">
        <v>90000000</v>
      </c>
      <c r="BG121" s="235"/>
      <c r="BH121" s="295">
        <v>330</v>
      </c>
      <c r="BI121" s="109">
        <v>19.69</v>
      </c>
    </row>
    <row r="122" spans="1:60" s="74" customFormat="1" ht="6" customHeight="1" thickBot="1">
      <c r="A122" s="76"/>
      <c r="B122" s="81"/>
      <c r="C122" s="81"/>
      <c r="D122" s="75"/>
      <c r="E122" s="78"/>
      <c r="H122" s="82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4"/>
      <c r="U122" s="83"/>
      <c r="V122" s="83"/>
      <c r="W122" s="83"/>
      <c r="X122" s="78"/>
      <c r="Y122" s="83"/>
      <c r="Z122" s="83"/>
      <c r="AA122" s="83"/>
      <c r="AB122" s="78"/>
      <c r="AC122" s="83"/>
      <c r="AD122" s="83"/>
      <c r="AE122" s="83"/>
      <c r="AF122" s="83"/>
      <c r="AG122" s="83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85"/>
    </row>
    <row r="123" spans="1:61" ht="15" customHeight="1">
      <c r="A123" s="205">
        <v>2004</v>
      </c>
      <c r="B123" s="292" t="s">
        <v>253</v>
      </c>
      <c r="C123" s="292" t="s">
        <v>254</v>
      </c>
      <c r="D123" s="127">
        <v>197.2</v>
      </c>
      <c r="E123" s="233">
        <v>1</v>
      </c>
      <c r="F123" s="124">
        <v>441</v>
      </c>
      <c r="G123" s="254" t="s">
        <v>186</v>
      </c>
      <c r="H123" s="254" t="s">
        <v>187</v>
      </c>
      <c r="I123" s="126">
        <v>89.356</v>
      </c>
      <c r="J123" s="127">
        <v>85.49</v>
      </c>
      <c r="K123" s="150">
        <v>3.872</v>
      </c>
      <c r="L123" s="150">
        <v>11.2</v>
      </c>
      <c r="M123" s="150">
        <v>0.37</v>
      </c>
      <c r="N123" s="127">
        <v>235.35</v>
      </c>
      <c r="O123" s="128">
        <v>4.091</v>
      </c>
      <c r="P123" s="128">
        <v>0.14</v>
      </c>
      <c r="Q123" s="128">
        <v>2.86</v>
      </c>
      <c r="R123" s="128">
        <v>1.69</v>
      </c>
      <c r="S123" s="128">
        <v>1.5</v>
      </c>
      <c r="T123" s="128">
        <v>0.19</v>
      </c>
      <c r="U123" s="128">
        <v>0.81</v>
      </c>
      <c r="V123" s="128">
        <v>0.36</v>
      </c>
      <c r="W123" s="260" t="s">
        <v>185</v>
      </c>
      <c r="X123" s="127">
        <v>689</v>
      </c>
      <c r="Y123" s="126">
        <v>44.937</v>
      </c>
      <c r="Z123" s="129">
        <v>1.89</v>
      </c>
      <c r="AA123" s="130">
        <v>201.78</v>
      </c>
      <c r="AB123" s="130">
        <v>1267</v>
      </c>
      <c r="AC123" s="129">
        <v>0.16</v>
      </c>
      <c r="AD123" s="129">
        <v>0.1</v>
      </c>
      <c r="AE123" s="128">
        <v>0.06</v>
      </c>
      <c r="AF123" s="128">
        <v>0.16</v>
      </c>
      <c r="AG123" s="260" t="s">
        <v>185</v>
      </c>
      <c r="AH123" s="127">
        <v>150495900</v>
      </c>
      <c r="AI123" s="127">
        <v>85243500</v>
      </c>
      <c r="AJ123" s="127">
        <v>65252400</v>
      </c>
      <c r="AK123" s="127">
        <v>107481900</v>
      </c>
      <c r="AL123" s="127">
        <v>43014000</v>
      </c>
      <c r="AM123" s="127">
        <v>61737900</v>
      </c>
      <c r="AN123" s="127">
        <v>31746800</v>
      </c>
      <c r="AO123" s="127">
        <v>13997200</v>
      </c>
      <c r="AP123" s="248" t="s">
        <v>185</v>
      </c>
      <c r="AQ123" s="127">
        <v>23505600</v>
      </c>
      <c r="AR123" s="127">
        <v>19508400</v>
      </c>
      <c r="AS123" s="127">
        <v>71767247</v>
      </c>
      <c r="AT123" s="131">
        <v>209413100</v>
      </c>
      <c r="AU123" s="127">
        <v>116133100</v>
      </c>
      <c r="AV123" s="127">
        <v>65665200</v>
      </c>
      <c r="AW123" s="127">
        <v>27614800</v>
      </c>
      <c r="AX123" s="127">
        <v>67113200</v>
      </c>
      <c r="AY123" s="127">
        <v>42230800</v>
      </c>
      <c r="AZ123" s="248" t="s">
        <v>185</v>
      </c>
      <c r="BA123" s="126">
        <v>135736800</v>
      </c>
      <c r="BB123" s="127">
        <v>74926732</v>
      </c>
      <c r="BC123" s="127">
        <v>54294700</v>
      </c>
      <c r="BD123" s="127">
        <v>6515368</v>
      </c>
      <c r="BE123" s="248" t="s">
        <v>185</v>
      </c>
      <c r="BF123" s="127">
        <v>26179500</v>
      </c>
      <c r="BG123" s="233" t="s">
        <v>185</v>
      </c>
      <c r="BH123" s="293">
        <v>200</v>
      </c>
      <c r="BI123" s="109"/>
    </row>
    <row r="124" spans="1:61" ht="15" customHeight="1">
      <c r="A124" s="205">
        <v>2005</v>
      </c>
      <c r="B124" s="274" t="s">
        <v>253</v>
      </c>
      <c r="C124" s="274" t="s">
        <v>254</v>
      </c>
      <c r="D124" s="127">
        <v>200.9</v>
      </c>
      <c r="E124" s="272"/>
      <c r="F124" s="124">
        <v>490</v>
      </c>
      <c r="G124" s="274"/>
      <c r="H124" s="274" t="s">
        <v>187</v>
      </c>
      <c r="I124" s="126">
        <v>93.949</v>
      </c>
      <c r="J124" s="127">
        <v>90</v>
      </c>
      <c r="K124" s="150">
        <v>3.95</v>
      </c>
      <c r="L124" s="150">
        <v>13.4</v>
      </c>
      <c r="M124" s="150">
        <v>0.65</v>
      </c>
      <c r="N124" s="127">
        <v>235.873</v>
      </c>
      <c r="O124" s="128">
        <v>8.94</v>
      </c>
      <c r="P124" s="128">
        <v>0.3</v>
      </c>
      <c r="Q124" s="128">
        <v>5.94</v>
      </c>
      <c r="R124" s="128">
        <v>3.48</v>
      </c>
      <c r="S124" s="128">
        <v>2.82</v>
      </c>
      <c r="T124" s="128">
        <v>0.66</v>
      </c>
      <c r="U124" s="128">
        <v>1.73</v>
      </c>
      <c r="V124" s="128">
        <v>0.732</v>
      </c>
      <c r="W124" s="272"/>
      <c r="X124" s="127">
        <v>755</v>
      </c>
      <c r="Y124" s="126">
        <v>45.299</v>
      </c>
      <c r="Z124" s="129">
        <v>1.9</v>
      </c>
      <c r="AA124" s="130">
        <v>203.66</v>
      </c>
      <c r="AB124" s="130">
        <v>1590</v>
      </c>
      <c r="AC124" s="129">
        <v>3.238</v>
      </c>
      <c r="AD124" s="129">
        <v>1.55</v>
      </c>
      <c r="AE124" s="128">
        <v>1.69</v>
      </c>
      <c r="AF124" s="128">
        <v>3.24</v>
      </c>
      <c r="AG124" s="261"/>
      <c r="AH124" s="127">
        <v>181562000</v>
      </c>
      <c r="AI124" s="127">
        <v>104141700</v>
      </c>
      <c r="AJ124" s="127">
        <v>77420300</v>
      </c>
      <c r="AK124" s="127">
        <v>130229900</v>
      </c>
      <c r="AL124" s="127">
        <v>51332100</v>
      </c>
      <c r="AM124" s="127">
        <v>77304800</v>
      </c>
      <c r="AN124" s="127">
        <v>37142500</v>
      </c>
      <c r="AO124" s="127">
        <v>15782600</v>
      </c>
      <c r="AP124" s="272"/>
      <c r="AQ124" s="127">
        <v>26836900</v>
      </c>
      <c r="AR124" s="127">
        <v>24495200</v>
      </c>
      <c r="AS124" s="127">
        <v>182310700</v>
      </c>
      <c r="AT124" s="131">
        <v>206609400</v>
      </c>
      <c r="AU124" s="127">
        <v>118759900</v>
      </c>
      <c r="AV124" s="127">
        <v>71887400</v>
      </c>
      <c r="AW124" s="127">
        <v>15962100</v>
      </c>
      <c r="AX124" s="127">
        <v>83787100</v>
      </c>
      <c r="AY124" s="127">
        <v>45726100</v>
      </c>
      <c r="AZ124" s="272"/>
      <c r="BA124" s="126">
        <v>267370600</v>
      </c>
      <c r="BB124" s="127">
        <v>147588608</v>
      </c>
      <c r="BC124" s="127">
        <v>106948200</v>
      </c>
      <c r="BD124" s="127">
        <v>12833792</v>
      </c>
      <c r="BE124" s="272" t="s">
        <v>185</v>
      </c>
      <c r="BF124" s="127">
        <v>47517700</v>
      </c>
      <c r="BG124" s="272"/>
      <c r="BH124" s="272"/>
      <c r="BI124" s="109"/>
    </row>
    <row r="125" spans="1:61" ht="15" customHeight="1">
      <c r="A125" s="205">
        <v>2006</v>
      </c>
      <c r="B125" s="274" t="s">
        <v>253</v>
      </c>
      <c r="C125" s="274" t="s">
        <v>254</v>
      </c>
      <c r="D125" s="127">
        <v>204.2</v>
      </c>
      <c r="E125" s="272"/>
      <c r="F125" s="124">
        <v>513</v>
      </c>
      <c r="G125" s="274"/>
      <c r="H125" s="274" t="s">
        <v>187</v>
      </c>
      <c r="I125" s="126">
        <v>104.291</v>
      </c>
      <c r="J125" s="127">
        <v>100.33</v>
      </c>
      <c r="K125" s="150">
        <v>3.956</v>
      </c>
      <c r="L125" s="150">
        <v>15.9</v>
      </c>
      <c r="M125" s="150">
        <v>1.02</v>
      </c>
      <c r="N125" s="127">
        <v>300.71</v>
      </c>
      <c r="O125" s="128">
        <v>9.09</v>
      </c>
      <c r="P125" s="128">
        <v>0.69</v>
      </c>
      <c r="Q125" s="128">
        <v>5.92</v>
      </c>
      <c r="R125" s="128">
        <v>3.55</v>
      </c>
      <c r="S125" s="128">
        <v>2.86</v>
      </c>
      <c r="T125" s="128">
        <v>0.69</v>
      </c>
      <c r="U125" s="128">
        <v>1.65</v>
      </c>
      <c r="V125" s="128">
        <v>0.716</v>
      </c>
      <c r="W125" s="272"/>
      <c r="X125" s="127">
        <v>915</v>
      </c>
      <c r="Y125" s="126">
        <v>47.669</v>
      </c>
      <c r="Z125" s="129">
        <v>1.98</v>
      </c>
      <c r="AA125" s="130">
        <v>218.73</v>
      </c>
      <c r="AB125" s="130">
        <v>1911</v>
      </c>
      <c r="AC125" s="129">
        <v>3.628</v>
      </c>
      <c r="AD125" s="129">
        <v>1.92</v>
      </c>
      <c r="AE125" s="128">
        <v>1.71</v>
      </c>
      <c r="AF125" s="128">
        <v>3.63</v>
      </c>
      <c r="AG125" s="261"/>
      <c r="AH125" s="127">
        <v>187426300</v>
      </c>
      <c r="AI125" s="127">
        <v>105923100</v>
      </c>
      <c r="AJ125" s="127">
        <v>81503200</v>
      </c>
      <c r="AK125" s="127">
        <v>126937400</v>
      </c>
      <c r="AL125" s="127">
        <v>60488900</v>
      </c>
      <c r="AM125" s="127">
        <v>75891600</v>
      </c>
      <c r="AN125" s="127">
        <v>35660400</v>
      </c>
      <c r="AO125" s="127">
        <v>15385400</v>
      </c>
      <c r="AP125" s="272"/>
      <c r="AQ125" s="127">
        <v>30031500</v>
      </c>
      <c r="AR125" s="127">
        <v>30457400</v>
      </c>
      <c r="AS125" s="127">
        <v>188097600</v>
      </c>
      <c r="AT125" s="131">
        <v>253598700</v>
      </c>
      <c r="AU125" s="127">
        <v>143686300</v>
      </c>
      <c r="AV125" s="127">
        <v>92554100</v>
      </c>
      <c r="AW125" s="127">
        <v>17358300</v>
      </c>
      <c r="AX125" s="127">
        <v>104816800</v>
      </c>
      <c r="AY125" s="127">
        <v>48903300</v>
      </c>
      <c r="AZ125" s="272"/>
      <c r="BA125" s="126">
        <v>329848000</v>
      </c>
      <c r="BB125" s="127">
        <v>182076188</v>
      </c>
      <c r="BC125" s="127">
        <v>131939100</v>
      </c>
      <c r="BD125" s="127">
        <v>15832712</v>
      </c>
      <c r="BE125" s="272" t="s">
        <v>185</v>
      </c>
      <c r="BF125" s="127">
        <v>61686500</v>
      </c>
      <c r="BG125" s="272"/>
      <c r="BH125" s="272"/>
      <c r="BI125" s="109"/>
    </row>
    <row r="126" spans="1:61" ht="15" customHeight="1">
      <c r="A126" s="205">
        <v>2007</v>
      </c>
      <c r="B126" s="274" t="s">
        <v>253</v>
      </c>
      <c r="C126" s="274" t="s">
        <v>254</v>
      </c>
      <c r="D126" s="127">
        <v>207.9</v>
      </c>
      <c r="E126" s="272"/>
      <c r="F126" s="124">
        <v>513</v>
      </c>
      <c r="G126" s="274"/>
      <c r="H126" s="274" t="s">
        <v>187</v>
      </c>
      <c r="I126" s="126">
        <v>107.597</v>
      </c>
      <c r="J126" s="127">
        <v>103.36</v>
      </c>
      <c r="K126" s="150">
        <v>4.242</v>
      </c>
      <c r="L126" s="150">
        <v>18.6</v>
      </c>
      <c r="M126" s="150">
        <v>1.81</v>
      </c>
      <c r="N126" s="127">
        <v>339.699</v>
      </c>
      <c r="O126" s="128">
        <v>8.12</v>
      </c>
      <c r="P126" s="128">
        <v>0.69</v>
      </c>
      <c r="Q126" s="128">
        <v>5.71</v>
      </c>
      <c r="R126" s="128">
        <v>3.31</v>
      </c>
      <c r="S126" s="128">
        <v>2.42</v>
      </c>
      <c r="T126" s="128">
        <v>0.89</v>
      </c>
      <c r="U126" s="128">
        <v>1.645</v>
      </c>
      <c r="V126" s="128">
        <v>0.753</v>
      </c>
      <c r="W126" s="272"/>
      <c r="X126" s="127">
        <v>924</v>
      </c>
      <c r="Y126" s="126">
        <v>47.517</v>
      </c>
      <c r="Z126" s="129">
        <v>2.01</v>
      </c>
      <c r="AA126" s="130">
        <v>225.52</v>
      </c>
      <c r="AB126" s="130">
        <v>1429</v>
      </c>
      <c r="AC126" s="129">
        <v>3.54</v>
      </c>
      <c r="AD126" s="129">
        <v>1.617</v>
      </c>
      <c r="AE126" s="128">
        <v>1.92</v>
      </c>
      <c r="AF126" s="128">
        <v>3.54</v>
      </c>
      <c r="AG126" s="262"/>
      <c r="AH126" s="127">
        <v>195476000</v>
      </c>
      <c r="AI126" s="127">
        <v>118926800</v>
      </c>
      <c r="AJ126" s="127">
        <v>76549200</v>
      </c>
      <c r="AK126" s="127">
        <v>135746500</v>
      </c>
      <c r="AL126" s="127">
        <v>59729500</v>
      </c>
      <c r="AM126" s="127">
        <v>84425400</v>
      </c>
      <c r="AN126" s="127">
        <v>35209500</v>
      </c>
      <c r="AO126" s="127">
        <v>16111600</v>
      </c>
      <c r="AP126" s="272"/>
      <c r="AQ126" s="127">
        <v>34501400</v>
      </c>
      <c r="AR126" s="127">
        <v>25228200</v>
      </c>
      <c r="AS126" s="127">
        <v>209362600</v>
      </c>
      <c r="AT126" s="131">
        <v>343210000</v>
      </c>
      <c r="AU126" s="127">
        <v>191970300</v>
      </c>
      <c r="AV126" s="127">
        <v>128398700</v>
      </c>
      <c r="AW126" s="127">
        <v>22841000</v>
      </c>
      <c r="AX126" s="127">
        <v>149643200</v>
      </c>
      <c r="AY126" s="127">
        <v>46479300</v>
      </c>
      <c r="AZ126" s="272"/>
      <c r="BA126" s="126">
        <v>540730000</v>
      </c>
      <c r="BB126" s="127">
        <v>291994200</v>
      </c>
      <c r="BC126" s="127">
        <v>216292000</v>
      </c>
      <c r="BD126" s="127">
        <v>32443800</v>
      </c>
      <c r="BE126" s="272" t="s">
        <v>185</v>
      </c>
      <c r="BF126" s="127">
        <v>82385700</v>
      </c>
      <c r="BG126" s="272"/>
      <c r="BH126" s="272"/>
      <c r="BI126" s="109"/>
    </row>
    <row r="127" spans="1:61" ht="15" customHeight="1">
      <c r="A127" s="205">
        <v>2008</v>
      </c>
      <c r="B127" s="274"/>
      <c r="C127" s="274"/>
      <c r="D127" s="127">
        <v>207.9</v>
      </c>
      <c r="E127" s="272"/>
      <c r="F127" s="124"/>
      <c r="G127" s="274"/>
      <c r="H127" s="274"/>
      <c r="I127" s="126"/>
      <c r="J127" s="127"/>
      <c r="K127" s="150"/>
      <c r="L127" s="150"/>
      <c r="M127" s="150"/>
      <c r="N127" s="127"/>
      <c r="O127" s="128"/>
      <c r="P127" s="128"/>
      <c r="Q127" s="128"/>
      <c r="R127" s="128"/>
      <c r="S127" s="128"/>
      <c r="T127" s="128"/>
      <c r="U127" s="128"/>
      <c r="V127" s="128"/>
      <c r="W127" s="272"/>
      <c r="X127" s="127"/>
      <c r="Y127" s="126"/>
      <c r="Z127" s="129"/>
      <c r="AA127" s="130"/>
      <c r="AB127" s="130"/>
      <c r="AC127" s="129"/>
      <c r="AD127" s="129"/>
      <c r="AE127" s="128"/>
      <c r="AF127" s="128"/>
      <c r="AG127" s="128"/>
      <c r="AH127" s="127"/>
      <c r="AI127" s="127"/>
      <c r="AJ127" s="127"/>
      <c r="AK127" s="127"/>
      <c r="AL127" s="127"/>
      <c r="AM127" s="127"/>
      <c r="AN127" s="127"/>
      <c r="AO127" s="127"/>
      <c r="AP127" s="272"/>
      <c r="AQ127" s="127"/>
      <c r="AR127" s="127"/>
      <c r="AS127" s="127"/>
      <c r="AT127" s="131"/>
      <c r="AU127" s="127"/>
      <c r="AV127" s="127"/>
      <c r="AW127" s="127"/>
      <c r="AX127" s="127"/>
      <c r="AY127" s="127"/>
      <c r="AZ127" s="272"/>
      <c r="BA127" s="126"/>
      <c r="BB127" s="127"/>
      <c r="BC127" s="127"/>
      <c r="BD127" s="127"/>
      <c r="BE127" s="272"/>
      <c r="BF127" s="127"/>
      <c r="BG127" s="272"/>
      <c r="BH127" s="272"/>
      <c r="BI127" s="109"/>
    </row>
    <row r="128" spans="1:61" ht="15" customHeight="1">
      <c r="A128" s="206">
        <v>2009</v>
      </c>
      <c r="B128" s="274" t="s">
        <v>253</v>
      </c>
      <c r="C128" s="274" t="s">
        <v>254</v>
      </c>
      <c r="D128" s="158">
        <v>200.9</v>
      </c>
      <c r="E128" s="272"/>
      <c r="F128" s="156">
        <v>589</v>
      </c>
      <c r="G128" s="274"/>
      <c r="H128" s="274" t="s">
        <v>187</v>
      </c>
      <c r="I128" s="157">
        <v>119.69</v>
      </c>
      <c r="J128" s="158">
        <v>112.08</v>
      </c>
      <c r="K128" s="163">
        <v>7.69</v>
      </c>
      <c r="L128" s="163">
        <v>12.09</v>
      </c>
      <c r="M128" s="163">
        <v>2.4</v>
      </c>
      <c r="N128" s="158">
        <v>381.25</v>
      </c>
      <c r="O128" s="159">
        <v>12.97</v>
      </c>
      <c r="P128" s="159"/>
      <c r="Q128" s="159">
        <v>7.46</v>
      </c>
      <c r="R128" s="159">
        <v>4.58</v>
      </c>
      <c r="S128" s="159">
        <v>4.5</v>
      </c>
      <c r="T128" s="159">
        <v>0.19</v>
      </c>
      <c r="U128" s="159">
        <v>1.65</v>
      </c>
      <c r="V128" s="159">
        <v>1.24</v>
      </c>
      <c r="W128" s="272"/>
      <c r="X128" s="158">
        <v>640</v>
      </c>
      <c r="Y128" s="157">
        <v>50.47</v>
      </c>
      <c r="Z128" s="160">
        <v>2.1</v>
      </c>
      <c r="AA128" s="130">
        <v>251.14</v>
      </c>
      <c r="AB128" s="130">
        <v>1117</v>
      </c>
      <c r="AC128" s="160">
        <v>4.66</v>
      </c>
      <c r="AD128" s="160">
        <v>2.57</v>
      </c>
      <c r="AE128" s="159">
        <v>2.09</v>
      </c>
      <c r="AF128" s="159">
        <v>4.14</v>
      </c>
      <c r="AG128" s="159">
        <v>1.98</v>
      </c>
      <c r="AH128" s="158">
        <v>361725200</v>
      </c>
      <c r="AI128" s="158">
        <v>197391100</v>
      </c>
      <c r="AJ128" s="158">
        <v>164334100</v>
      </c>
      <c r="AK128" s="158">
        <v>178181700</v>
      </c>
      <c r="AL128" s="158">
        <v>183543500</v>
      </c>
      <c r="AM128" s="158">
        <v>97270400</v>
      </c>
      <c r="AN128" s="158">
        <v>45759600</v>
      </c>
      <c r="AO128" s="158">
        <v>35151700</v>
      </c>
      <c r="AP128" s="272"/>
      <c r="AQ128" s="158">
        <v>100120700</v>
      </c>
      <c r="AR128" s="158">
        <v>83422800</v>
      </c>
      <c r="AS128" s="158">
        <v>354321400</v>
      </c>
      <c r="AT128" s="161">
        <v>550356400</v>
      </c>
      <c r="AU128" s="158">
        <v>268178400</v>
      </c>
      <c r="AV128" s="158">
        <v>254165500</v>
      </c>
      <c r="AW128" s="158">
        <v>28012500</v>
      </c>
      <c r="AX128" s="158">
        <v>245361500</v>
      </c>
      <c r="AY128" s="158">
        <v>72219400</v>
      </c>
      <c r="AZ128" s="272"/>
      <c r="BA128" s="157">
        <v>2678867058</v>
      </c>
      <c r="BB128" s="158">
        <v>1333684294</v>
      </c>
      <c r="BC128" s="158">
        <v>1163783404</v>
      </c>
      <c r="BD128" s="158">
        <v>181399360</v>
      </c>
      <c r="BE128" s="272" t="s">
        <v>185</v>
      </c>
      <c r="BF128" s="158">
        <v>196046700</v>
      </c>
      <c r="BG128" s="272"/>
      <c r="BH128" s="272"/>
      <c r="BI128" s="132">
        <v>15.2</v>
      </c>
    </row>
    <row r="129" spans="1:61" ht="15" customHeight="1">
      <c r="A129" s="205">
        <v>2010</v>
      </c>
      <c r="B129" s="275" t="s">
        <v>253</v>
      </c>
      <c r="C129" s="275" t="s">
        <v>254</v>
      </c>
      <c r="D129" s="127">
        <v>200.9</v>
      </c>
      <c r="E129" s="273"/>
      <c r="F129" s="124">
        <v>589</v>
      </c>
      <c r="G129" s="275"/>
      <c r="H129" s="275" t="s">
        <v>187</v>
      </c>
      <c r="I129" s="126">
        <v>131.26</v>
      </c>
      <c r="J129" s="127">
        <v>128.75</v>
      </c>
      <c r="K129" s="150">
        <v>2.51</v>
      </c>
      <c r="L129" s="150">
        <v>16.67</v>
      </c>
      <c r="M129" s="150">
        <v>2.5</v>
      </c>
      <c r="N129" s="127">
        <v>442.16</v>
      </c>
      <c r="O129" s="128">
        <v>13.24</v>
      </c>
      <c r="P129" s="128"/>
      <c r="Q129" s="128">
        <v>7.68</v>
      </c>
      <c r="R129" s="128">
        <v>4.58</v>
      </c>
      <c r="S129" s="128">
        <v>4.5</v>
      </c>
      <c r="T129" s="128">
        <v>0.5</v>
      </c>
      <c r="U129" s="128">
        <v>0.66</v>
      </c>
      <c r="V129" s="128">
        <v>2.44</v>
      </c>
      <c r="W129" s="273"/>
      <c r="X129" s="127">
        <v>532</v>
      </c>
      <c r="Y129" s="126">
        <v>53.73</v>
      </c>
      <c r="Z129" s="129">
        <v>3.26</v>
      </c>
      <c r="AA129" s="123">
        <v>259.93</v>
      </c>
      <c r="AB129" s="123">
        <v>967</v>
      </c>
      <c r="AC129" s="129">
        <v>4.21</v>
      </c>
      <c r="AD129" s="129">
        <v>2.1</v>
      </c>
      <c r="AE129" s="128">
        <v>2.11</v>
      </c>
      <c r="AF129" s="128">
        <v>3.77</v>
      </c>
      <c r="AG129" s="128">
        <v>3.74</v>
      </c>
      <c r="AH129" s="127">
        <v>504336386</v>
      </c>
      <c r="AI129" s="127">
        <v>199044149</v>
      </c>
      <c r="AJ129" s="127">
        <v>305292237</v>
      </c>
      <c r="AK129" s="127">
        <v>258755853</v>
      </c>
      <c r="AL129" s="127">
        <v>245580533</v>
      </c>
      <c r="AM129" s="127">
        <v>108115466</v>
      </c>
      <c r="AN129" s="127">
        <v>67117341</v>
      </c>
      <c r="AO129" s="127">
        <v>85523046</v>
      </c>
      <c r="AP129" s="273"/>
      <c r="AQ129" s="127">
        <v>90928682</v>
      </c>
      <c r="AR129" s="127">
        <v>154651851</v>
      </c>
      <c r="AS129" s="127">
        <v>483013000</v>
      </c>
      <c r="AT129" s="131">
        <v>619192600</v>
      </c>
      <c r="AU129" s="127">
        <v>319238100</v>
      </c>
      <c r="AV129" s="127">
        <v>269808700</v>
      </c>
      <c r="AW129" s="127">
        <v>30145800</v>
      </c>
      <c r="AX129" s="127">
        <v>278156300</v>
      </c>
      <c r="AY129" s="127">
        <v>86811100</v>
      </c>
      <c r="AZ129" s="273"/>
      <c r="BA129" s="126">
        <v>2689080147</v>
      </c>
      <c r="BB129" s="127">
        <v>1333684294</v>
      </c>
      <c r="BC129" s="127">
        <v>1167348493</v>
      </c>
      <c r="BD129" s="127">
        <v>188047360</v>
      </c>
      <c r="BE129" s="273" t="s">
        <v>185</v>
      </c>
      <c r="BF129" s="127">
        <v>207732500</v>
      </c>
      <c r="BG129" s="273"/>
      <c r="BH129" s="273"/>
      <c r="BI129" s="109">
        <v>12.1</v>
      </c>
    </row>
    <row r="130" spans="1:60" s="74" customFormat="1" ht="6" customHeight="1" thickBot="1">
      <c r="A130" s="76"/>
      <c r="B130" s="81"/>
      <c r="C130" s="81"/>
      <c r="D130" s="75"/>
      <c r="E130" s="78"/>
      <c r="H130" s="82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4"/>
      <c r="U130" s="83"/>
      <c r="V130" s="83"/>
      <c r="W130" s="83"/>
      <c r="X130" s="78"/>
      <c r="Y130" s="83"/>
      <c r="Z130" s="83"/>
      <c r="AA130" s="83"/>
      <c r="AB130" s="78"/>
      <c r="AC130" s="83"/>
      <c r="AD130" s="83"/>
      <c r="AE130" s="83"/>
      <c r="AF130" s="83"/>
      <c r="AG130" s="83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85"/>
    </row>
    <row r="131" spans="1:61" ht="15" customHeight="1">
      <c r="A131" s="205">
        <v>2000</v>
      </c>
      <c r="B131" s="292" t="s">
        <v>255</v>
      </c>
      <c r="C131" s="292" t="s">
        <v>256</v>
      </c>
      <c r="D131" s="127">
        <v>198</v>
      </c>
      <c r="E131" s="233">
        <v>1</v>
      </c>
      <c r="F131" s="124">
        <v>759</v>
      </c>
      <c r="G131" s="254" t="s">
        <v>186</v>
      </c>
      <c r="H131" s="254" t="s">
        <v>257</v>
      </c>
      <c r="I131" s="126">
        <v>198</v>
      </c>
      <c r="J131" s="127">
        <v>148.7</v>
      </c>
      <c r="K131" s="150">
        <v>49.3</v>
      </c>
      <c r="L131" s="150">
        <v>1.081</v>
      </c>
      <c r="M131" s="150">
        <v>0.051</v>
      </c>
      <c r="N131" s="127">
        <v>291</v>
      </c>
      <c r="O131" s="128">
        <v>16.4</v>
      </c>
      <c r="P131" s="128">
        <v>9.8</v>
      </c>
      <c r="Q131" s="128">
        <v>16.4</v>
      </c>
      <c r="R131" s="128">
        <v>12.2</v>
      </c>
      <c r="S131" s="128">
        <v>9.1</v>
      </c>
      <c r="T131" s="128">
        <v>3.1</v>
      </c>
      <c r="U131" s="128">
        <v>3.1</v>
      </c>
      <c r="V131" s="128">
        <v>1.1</v>
      </c>
      <c r="W131" s="260" t="s">
        <v>185</v>
      </c>
      <c r="X131" s="127">
        <v>340</v>
      </c>
      <c r="Y131" s="126">
        <v>148.7</v>
      </c>
      <c r="Z131" s="129">
        <v>1.08</v>
      </c>
      <c r="AA131" s="130">
        <v>218</v>
      </c>
      <c r="AB131" s="130"/>
      <c r="AC131" s="129">
        <v>15.1</v>
      </c>
      <c r="AD131" s="129">
        <v>11.6</v>
      </c>
      <c r="AE131" s="128">
        <v>3.5</v>
      </c>
      <c r="AF131" s="128">
        <v>3.5</v>
      </c>
      <c r="AG131" s="128">
        <v>3.5</v>
      </c>
      <c r="AH131" s="127">
        <v>280230900</v>
      </c>
      <c r="AI131" s="127">
        <v>211976800</v>
      </c>
      <c r="AJ131" s="127">
        <v>68254100</v>
      </c>
      <c r="AK131" s="127">
        <v>156091800</v>
      </c>
      <c r="AL131" s="127">
        <v>124139100</v>
      </c>
      <c r="AM131" s="127">
        <v>116391500</v>
      </c>
      <c r="AN131" s="127">
        <v>29476400</v>
      </c>
      <c r="AO131" s="127">
        <v>10223900</v>
      </c>
      <c r="AP131" s="248" t="s">
        <v>185</v>
      </c>
      <c r="AQ131" s="127">
        <v>95585300</v>
      </c>
      <c r="AR131" s="127">
        <v>28553800</v>
      </c>
      <c r="AS131" s="127">
        <v>268741433</v>
      </c>
      <c r="AT131" s="131">
        <v>325871500</v>
      </c>
      <c r="AU131" s="127">
        <v>189279800</v>
      </c>
      <c r="AV131" s="127">
        <v>136591700</v>
      </c>
      <c r="AW131" s="127"/>
      <c r="AX131" s="127">
        <v>102723300</v>
      </c>
      <c r="AY131" s="127">
        <v>37452500</v>
      </c>
      <c r="AZ131" s="127">
        <v>14524000</v>
      </c>
      <c r="BA131" s="126"/>
      <c r="BB131" s="127"/>
      <c r="BC131" s="127"/>
      <c r="BD131" s="127"/>
      <c r="BE131" s="248" t="s">
        <v>185</v>
      </c>
      <c r="BF131" s="127"/>
      <c r="BG131" s="233" t="s">
        <v>185</v>
      </c>
      <c r="BH131" s="248">
        <v>250</v>
      </c>
      <c r="BI131" s="109"/>
    </row>
    <row r="132" spans="1:61" ht="15" customHeight="1">
      <c r="A132" s="205">
        <v>2001</v>
      </c>
      <c r="B132" s="274" t="s">
        <v>255</v>
      </c>
      <c r="C132" s="274" t="s">
        <v>256</v>
      </c>
      <c r="D132" s="127">
        <v>196</v>
      </c>
      <c r="E132" s="272"/>
      <c r="F132" s="124">
        <v>789</v>
      </c>
      <c r="G132" s="274"/>
      <c r="H132" s="274" t="s">
        <v>257</v>
      </c>
      <c r="I132" s="126">
        <v>196</v>
      </c>
      <c r="J132" s="127">
        <v>147</v>
      </c>
      <c r="K132" s="150">
        <v>49</v>
      </c>
      <c r="L132" s="150">
        <v>1.08</v>
      </c>
      <c r="M132" s="150">
        <v>0.05</v>
      </c>
      <c r="N132" s="127">
        <v>291</v>
      </c>
      <c r="O132" s="128">
        <v>15.6</v>
      </c>
      <c r="P132" s="128">
        <v>9.7</v>
      </c>
      <c r="Q132" s="128">
        <v>15.6</v>
      </c>
      <c r="R132" s="128">
        <v>11.6</v>
      </c>
      <c r="S132" s="128">
        <v>8.7</v>
      </c>
      <c r="T132" s="128">
        <v>2.9</v>
      </c>
      <c r="U132" s="128">
        <v>3</v>
      </c>
      <c r="V132" s="128">
        <v>1</v>
      </c>
      <c r="W132" s="272"/>
      <c r="X132" s="127">
        <v>325</v>
      </c>
      <c r="Y132" s="126">
        <v>147</v>
      </c>
      <c r="Z132" s="129">
        <v>1.18</v>
      </c>
      <c r="AA132" s="130">
        <v>218</v>
      </c>
      <c r="AB132" s="130">
        <v>5920</v>
      </c>
      <c r="AC132" s="129">
        <v>14.4</v>
      </c>
      <c r="AD132" s="129">
        <v>11.1</v>
      </c>
      <c r="AE132" s="128">
        <v>3.3</v>
      </c>
      <c r="AF132" s="128">
        <v>3.3</v>
      </c>
      <c r="AG132" s="128">
        <v>3.3</v>
      </c>
      <c r="AH132" s="127">
        <v>287772600</v>
      </c>
      <c r="AI132" s="127">
        <v>217433800</v>
      </c>
      <c r="AJ132" s="127">
        <v>70338800</v>
      </c>
      <c r="AK132" s="127">
        <v>157597500</v>
      </c>
      <c r="AL132" s="127">
        <v>130175100</v>
      </c>
      <c r="AM132" s="127">
        <v>117207400</v>
      </c>
      <c r="AN132" s="127">
        <v>29888674</v>
      </c>
      <c r="AO132" s="127">
        <v>10501426</v>
      </c>
      <c r="AP132" s="272"/>
      <c r="AQ132" s="127">
        <v>100226400</v>
      </c>
      <c r="AR132" s="127">
        <v>29948700</v>
      </c>
      <c r="AS132" s="127">
        <v>276549469</v>
      </c>
      <c r="AT132" s="131">
        <v>358172800</v>
      </c>
      <c r="AU132" s="127">
        <v>200898300</v>
      </c>
      <c r="AV132" s="127">
        <v>157274500</v>
      </c>
      <c r="AW132" s="127"/>
      <c r="AX132" s="127">
        <v>111125800</v>
      </c>
      <c r="AY132" s="127">
        <v>50506400</v>
      </c>
      <c r="AZ132" s="127">
        <v>13545000</v>
      </c>
      <c r="BA132" s="126"/>
      <c r="BB132" s="127"/>
      <c r="BC132" s="127"/>
      <c r="BD132" s="127"/>
      <c r="BE132" s="272"/>
      <c r="BF132" s="127"/>
      <c r="BG132" s="272"/>
      <c r="BH132" s="272">
        <v>250</v>
      </c>
      <c r="BI132" s="109"/>
    </row>
    <row r="133" spans="1:61" ht="15" customHeight="1">
      <c r="A133" s="205">
        <v>2002</v>
      </c>
      <c r="B133" s="274" t="s">
        <v>255</v>
      </c>
      <c r="C133" s="274" t="s">
        <v>256</v>
      </c>
      <c r="D133" s="127">
        <v>195</v>
      </c>
      <c r="E133" s="272"/>
      <c r="F133" s="124">
        <v>791</v>
      </c>
      <c r="G133" s="274"/>
      <c r="H133" s="274" t="s">
        <v>257</v>
      </c>
      <c r="I133" s="126">
        <v>195</v>
      </c>
      <c r="J133" s="127">
        <v>146.2</v>
      </c>
      <c r="K133" s="150">
        <v>48.8</v>
      </c>
      <c r="L133" s="150">
        <v>1.08</v>
      </c>
      <c r="M133" s="150">
        <v>0.05</v>
      </c>
      <c r="N133" s="127">
        <v>303</v>
      </c>
      <c r="O133" s="128">
        <v>15</v>
      </c>
      <c r="P133" s="128">
        <v>9.5</v>
      </c>
      <c r="Q133" s="128">
        <v>15</v>
      </c>
      <c r="R133" s="128">
        <v>10.7</v>
      </c>
      <c r="S133" s="128">
        <v>8</v>
      </c>
      <c r="T133" s="128">
        <v>2.7</v>
      </c>
      <c r="U133" s="128">
        <v>3.2</v>
      </c>
      <c r="V133" s="128">
        <v>1.1</v>
      </c>
      <c r="W133" s="272"/>
      <c r="X133" s="127">
        <v>305</v>
      </c>
      <c r="Y133" s="126">
        <v>146.2</v>
      </c>
      <c r="Z133" s="129">
        <v>1.38</v>
      </c>
      <c r="AA133" s="130">
        <v>225</v>
      </c>
      <c r="AB133" s="130">
        <v>5790</v>
      </c>
      <c r="AC133" s="129">
        <v>13.8</v>
      </c>
      <c r="AD133" s="129">
        <v>10.1</v>
      </c>
      <c r="AE133" s="128">
        <v>3.7</v>
      </c>
      <c r="AF133" s="128">
        <v>3.7</v>
      </c>
      <c r="AG133" s="128">
        <v>3.7</v>
      </c>
      <c r="AH133" s="127">
        <v>306507703</v>
      </c>
      <c r="AI133" s="127">
        <v>220878054</v>
      </c>
      <c r="AJ133" s="127">
        <v>85629649</v>
      </c>
      <c r="AK133" s="127">
        <v>169702969</v>
      </c>
      <c r="AL133" s="127">
        <v>136804734</v>
      </c>
      <c r="AM133" s="127">
        <v>120836776</v>
      </c>
      <c r="AN133" s="127">
        <v>36274067</v>
      </c>
      <c r="AO133" s="127">
        <v>12592126</v>
      </c>
      <c r="AP133" s="272"/>
      <c r="AQ133" s="127">
        <v>100041278</v>
      </c>
      <c r="AR133" s="127">
        <v>36763456</v>
      </c>
      <c r="AS133" s="127">
        <v>296699457</v>
      </c>
      <c r="AT133" s="131">
        <v>370069200</v>
      </c>
      <c r="AU133" s="127">
        <v>222506500</v>
      </c>
      <c r="AV133" s="127">
        <v>147562700</v>
      </c>
      <c r="AW133" s="127"/>
      <c r="AX133" s="127">
        <v>114926200</v>
      </c>
      <c r="AY133" s="127">
        <v>55675000</v>
      </c>
      <c r="AZ133" s="127">
        <v>12582000</v>
      </c>
      <c r="BA133" s="126"/>
      <c r="BB133" s="127"/>
      <c r="BC133" s="127"/>
      <c r="BD133" s="127"/>
      <c r="BE133" s="272"/>
      <c r="BF133" s="127"/>
      <c r="BG133" s="272"/>
      <c r="BH133" s="272">
        <v>250</v>
      </c>
      <c r="BI133" s="109"/>
    </row>
    <row r="134" spans="1:61" ht="15" customHeight="1">
      <c r="A134" s="205">
        <v>2003</v>
      </c>
      <c r="B134" s="274" t="s">
        <v>255</v>
      </c>
      <c r="C134" s="274" t="s">
        <v>256</v>
      </c>
      <c r="D134" s="127">
        <v>194</v>
      </c>
      <c r="E134" s="272"/>
      <c r="F134" s="124">
        <v>748</v>
      </c>
      <c r="G134" s="274"/>
      <c r="H134" s="274" t="s">
        <v>257</v>
      </c>
      <c r="I134" s="126">
        <v>194</v>
      </c>
      <c r="J134" s="127">
        <v>145.7</v>
      </c>
      <c r="K134" s="150">
        <v>48.3</v>
      </c>
      <c r="L134" s="150">
        <v>1.08</v>
      </c>
      <c r="M134" s="150">
        <v>0.05</v>
      </c>
      <c r="N134" s="127">
        <v>303</v>
      </c>
      <c r="O134" s="128">
        <v>14.4</v>
      </c>
      <c r="P134" s="128">
        <v>9.1</v>
      </c>
      <c r="Q134" s="128">
        <v>14.4</v>
      </c>
      <c r="R134" s="128">
        <v>10.1</v>
      </c>
      <c r="S134" s="128">
        <v>7.6</v>
      </c>
      <c r="T134" s="128">
        <v>2.5</v>
      </c>
      <c r="U134" s="128">
        <v>3.2</v>
      </c>
      <c r="V134" s="128">
        <v>1.1</v>
      </c>
      <c r="W134" s="272"/>
      <c r="X134" s="127">
        <v>308</v>
      </c>
      <c r="Y134" s="126">
        <v>145.7</v>
      </c>
      <c r="Z134" s="129">
        <v>1.48</v>
      </c>
      <c r="AA134" s="130">
        <v>225</v>
      </c>
      <c r="AB134" s="130">
        <v>5800</v>
      </c>
      <c r="AC134" s="129">
        <v>13.1</v>
      </c>
      <c r="AD134" s="129">
        <v>9.2</v>
      </c>
      <c r="AE134" s="128">
        <v>3.9</v>
      </c>
      <c r="AF134" s="128">
        <v>3.9</v>
      </c>
      <c r="AG134" s="128">
        <v>3.9</v>
      </c>
      <c r="AH134" s="127">
        <v>321442848</v>
      </c>
      <c r="AI134" s="127">
        <v>225906549</v>
      </c>
      <c r="AJ134" s="127">
        <v>95536299</v>
      </c>
      <c r="AK134" s="127">
        <v>180245324</v>
      </c>
      <c r="AL134" s="127">
        <v>141197524</v>
      </c>
      <c r="AM134" s="127">
        <v>125915538</v>
      </c>
      <c r="AN134" s="127">
        <v>40207263</v>
      </c>
      <c r="AO134" s="127">
        <v>14122523</v>
      </c>
      <c r="AP134" s="272"/>
      <c r="AQ134" s="127">
        <v>99991011</v>
      </c>
      <c r="AR134" s="127">
        <v>41206513</v>
      </c>
      <c r="AS134" s="127">
        <v>312442448</v>
      </c>
      <c r="AT134" s="131">
        <v>365774900</v>
      </c>
      <c r="AU134" s="127">
        <v>213835400</v>
      </c>
      <c r="AV134" s="127">
        <v>151939500</v>
      </c>
      <c r="AW134" s="127"/>
      <c r="AX134" s="127">
        <v>117242400</v>
      </c>
      <c r="AY134" s="127">
        <v>57034500</v>
      </c>
      <c r="AZ134" s="127">
        <v>11005000</v>
      </c>
      <c r="BA134" s="126">
        <v>545763000</v>
      </c>
      <c r="BB134" s="127">
        <v>283796000</v>
      </c>
      <c r="BC134" s="127">
        <v>190328000</v>
      </c>
      <c r="BD134" s="127">
        <v>71639000</v>
      </c>
      <c r="BE134" s="272"/>
      <c r="BF134" s="127">
        <v>119793</v>
      </c>
      <c r="BG134" s="272"/>
      <c r="BH134" s="272">
        <v>250</v>
      </c>
      <c r="BI134" s="109"/>
    </row>
    <row r="135" spans="1:61" ht="15" customHeight="1">
      <c r="A135" s="205">
        <v>2004</v>
      </c>
      <c r="B135" s="274" t="s">
        <v>255</v>
      </c>
      <c r="C135" s="274" t="s">
        <v>256</v>
      </c>
      <c r="D135" s="127">
        <v>192</v>
      </c>
      <c r="E135" s="272"/>
      <c r="F135" s="124">
        <v>745</v>
      </c>
      <c r="G135" s="274"/>
      <c r="H135" s="274" t="s">
        <v>257</v>
      </c>
      <c r="I135" s="126">
        <v>192</v>
      </c>
      <c r="J135" s="127">
        <v>144.2</v>
      </c>
      <c r="K135" s="150">
        <v>47.8</v>
      </c>
      <c r="L135" s="150">
        <v>1.08</v>
      </c>
      <c r="M135" s="150">
        <v>0.05</v>
      </c>
      <c r="N135" s="127">
        <v>303</v>
      </c>
      <c r="O135" s="128">
        <v>14.2</v>
      </c>
      <c r="P135" s="128">
        <v>9.2</v>
      </c>
      <c r="Q135" s="128">
        <v>14.2</v>
      </c>
      <c r="R135" s="128">
        <v>9.8</v>
      </c>
      <c r="S135" s="128">
        <v>7.4</v>
      </c>
      <c r="T135" s="128">
        <v>2.4</v>
      </c>
      <c r="U135" s="128">
        <v>3.2</v>
      </c>
      <c r="V135" s="128">
        <v>1.2</v>
      </c>
      <c r="W135" s="272"/>
      <c r="X135" s="127">
        <v>383</v>
      </c>
      <c r="Y135" s="126">
        <v>144.2</v>
      </c>
      <c r="Z135" s="129">
        <v>1.68</v>
      </c>
      <c r="AA135" s="130">
        <v>225</v>
      </c>
      <c r="AB135" s="130">
        <v>5720</v>
      </c>
      <c r="AC135" s="129">
        <v>12.8</v>
      </c>
      <c r="AD135" s="129">
        <v>9</v>
      </c>
      <c r="AE135" s="128">
        <v>3.8</v>
      </c>
      <c r="AF135" s="128">
        <v>3.8</v>
      </c>
      <c r="AG135" s="128">
        <v>3.8</v>
      </c>
      <c r="AH135" s="127">
        <v>328653629</v>
      </c>
      <c r="AI135" s="127">
        <v>229224658</v>
      </c>
      <c r="AJ135" s="127">
        <v>99428971</v>
      </c>
      <c r="AK135" s="127">
        <v>184963545</v>
      </c>
      <c r="AL135" s="127">
        <v>143690084</v>
      </c>
      <c r="AM135" s="127">
        <v>128195935</v>
      </c>
      <c r="AN135" s="127">
        <v>41337524</v>
      </c>
      <c r="AO135" s="127">
        <v>15430086</v>
      </c>
      <c r="AP135" s="272"/>
      <c r="AQ135" s="127">
        <v>101028723</v>
      </c>
      <c r="AR135" s="127">
        <v>42661361</v>
      </c>
      <c r="AS135" s="127">
        <v>320437288</v>
      </c>
      <c r="AT135" s="131">
        <v>372820100</v>
      </c>
      <c r="AU135" s="127">
        <v>213336500</v>
      </c>
      <c r="AV135" s="127">
        <v>159483600</v>
      </c>
      <c r="AW135" s="127"/>
      <c r="AX135" s="127">
        <v>126352900</v>
      </c>
      <c r="AY135" s="127">
        <v>54399200</v>
      </c>
      <c r="AZ135" s="127">
        <v>12010000</v>
      </c>
      <c r="BA135" s="126">
        <v>665166000</v>
      </c>
      <c r="BB135" s="127">
        <v>345886000</v>
      </c>
      <c r="BC135" s="127">
        <v>226156000</v>
      </c>
      <c r="BD135" s="127">
        <v>93124000</v>
      </c>
      <c r="BE135" s="272"/>
      <c r="BF135" s="127">
        <v>80792</v>
      </c>
      <c r="BG135" s="272"/>
      <c r="BH135" s="272">
        <v>250</v>
      </c>
      <c r="BI135" s="109"/>
    </row>
    <row r="136" spans="1:61" ht="15" customHeight="1">
      <c r="A136" s="205">
        <v>2005</v>
      </c>
      <c r="B136" s="274" t="s">
        <v>255</v>
      </c>
      <c r="C136" s="274" t="s">
        <v>256</v>
      </c>
      <c r="D136" s="127">
        <v>190</v>
      </c>
      <c r="E136" s="272"/>
      <c r="F136" s="124">
        <v>748</v>
      </c>
      <c r="G136" s="274"/>
      <c r="H136" s="274" t="s">
        <v>257</v>
      </c>
      <c r="I136" s="126">
        <v>190</v>
      </c>
      <c r="J136" s="127">
        <v>142.5</v>
      </c>
      <c r="K136" s="150">
        <v>47.5</v>
      </c>
      <c r="L136" s="150">
        <v>1.09</v>
      </c>
      <c r="M136" s="150">
        <v>0.05</v>
      </c>
      <c r="N136" s="127">
        <v>303</v>
      </c>
      <c r="O136" s="128">
        <v>13.8</v>
      </c>
      <c r="P136" s="128">
        <v>9.1</v>
      </c>
      <c r="Q136" s="128">
        <v>13.8</v>
      </c>
      <c r="R136" s="128">
        <v>9.5</v>
      </c>
      <c r="S136" s="128">
        <v>7.2</v>
      </c>
      <c r="T136" s="128">
        <v>2.3</v>
      </c>
      <c r="U136" s="128">
        <v>3.2</v>
      </c>
      <c r="V136" s="128">
        <v>1.1</v>
      </c>
      <c r="W136" s="272"/>
      <c r="X136" s="127">
        <v>306</v>
      </c>
      <c r="Y136" s="126">
        <v>142.5</v>
      </c>
      <c r="Z136" s="129">
        <v>1.79</v>
      </c>
      <c r="AA136" s="130">
        <v>225</v>
      </c>
      <c r="AB136" s="130">
        <v>5700</v>
      </c>
      <c r="AC136" s="129">
        <v>12.4</v>
      </c>
      <c r="AD136" s="129">
        <v>8.7</v>
      </c>
      <c r="AE136" s="128">
        <v>3.7</v>
      </c>
      <c r="AF136" s="128">
        <v>3.7</v>
      </c>
      <c r="AG136" s="128">
        <v>3.7</v>
      </c>
      <c r="AH136" s="127">
        <v>343406485</v>
      </c>
      <c r="AI136" s="127">
        <v>237819105</v>
      </c>
      <c r="AJ136" s="127">
        <v>105587380</v>
      </c>
      <c r="AK136" s="127">
        <v>193643258</v>
      </c>
      <c r="AL136" s="127">
        <v>149763224</v>
      </c>
      <c r="AM136" s="127">
        <v>132685763</v>
      </c>
      <c r="AN136" s="127">
        <v>44933320</v>
      </c>
      <c r="AO136" s="127">
        <v>16024175</v>
      </c>
      <c r="AP136" s="272"/>
      <c r="AQ136" s="127">
        <v>105133342</v>
      </c>
      <c r="AR136" s="127">
        <v>44629882</v>
      </c>
      <c r="AS136" s="127">
        <v>335851542</v>
      </c>
      <c r="AT136" s="131">
        <v>376019200</v>
      </c>
      <c r="AU136" s="127">
        <v>219015300</v>
      </c>
      <c r="AV136" s="127">
        <v>157003900</v>
      </c>
      <c r="AW136" s="127"/>
      <c r="AX136" s="127">
        <v>135482900</v>
      </c>
      <c r="AY136" s="127">
        <v>56967600</v>
      </c>
      <c r="AZ136" s="127">
        <v>10222000</v>
      </c>
      <c r="BA136" s="126">
        <v>649397680</v>
      </c>
      <c r="BB136" s="127">
        <v>337686960</v>
      </c>
      <c r="BC136" s="127">
        <v>220795000</v>
      </c>
      <c r="BD136" s="127">
        <v>90915720</v>
      </c>
      <c r="BE136" s="272"/>
      <c r="BF136" s="127">
        <v>88541</v>
      </c>
      <c r="BG136" s="272"/>
      <c r="BH136" s="272">
        <v>250</v>
      </c>
      <c r="BI136" s="109"/>
    </row>
    <row r="137" spans="1:61" ht="15" customHeight="1">
      <c r="A137" s="205">
        <v>2006</v>
      </c>
      <c r="B137" s="274" t="s">
        <v>255</v>
      </c>
      <c r="C137" s="274" t="s">
        <v>256</v>
      </c>
      <c r="D137" s="127">
        <v>182</v>
      </c>
      <c r="E137" s="272"/>
      <c r="F137" s="124">
        <v>748</v>
      </c>
      <c r="G137" s="274"/>
      <c r="H137" s="274" t="s">
        <v>257</v>
      </c>
      <c r="I137" s="126">
        <v>182</v>
      </c>
      <c r="J137" s="127">
        <v>136.5</v>
      </c>
      <c r="K137" s="150">
        <v>45.5</v>
      </c>
      <c r="L137" s="150">
        <v>1.09</v>
      </c>
      <c r="M137" s="150">
        <v>0.06</v>
      </c>
      <c r="N137" s="127">
        <v>303</v>
      </c>
      <c r="O137" s="128">
        <v>13.5</v>
      </c>
      <c r="P137" s="128">
        <v>9.2</v>
      </c>
      <c r="Q137" s="128">
        <v>13.5</v>
      </c>
      <c r="R137" s="128">
        <v>9.4</v>
      </c>
      <c r="S137" s="128">
        <v>7.1</v>
      </c>
      <c r="T137" s="128">
        <v>2.3</v>
      </c>
      <c r="U137" s="128">
        <v>3</v>
      </c>
      <c r="V137" s="128">
        <v>1.1</v>
      </c>
      <c r="W137" s="272"/>
      <c r="X137" s="127">
        <v>275</v>
      </c>
      <c r="Y137" s="126">
        <v>136.5</v>
      </c>
      <c r="Z137" s="129">
        <v>1.89</v>
      </c>
      <c r="AA137" s="130">
        <v>225</v>
      </c>
      <c r="AB137" s="130">
        <v>5525</v>
      </c>
      <c r="AC137" s="129">
        <v>12.2</v>
      </c>
      <c r="AD137" s="129">
        <v>8.5</v>
      </c>
      <c r="AE137" s="128">
        <v>3.7</v>
      </c>
      <c r="AF137" s="128">
        <v>3.7</v>
      </c>
      <c r="AG137" s="128">
        <v>3.7</v>
      </c>
      <c r="AH137" s="127">
        <v>384947309</v>
      </c>
      <c r="AI137" s="127">
        <v>267431512</v>
      </c>
      <c r="AJ137" s="127">
        <v>117515797</v>
      </c>
      <c r="AK137" s="127">
        <v>215892346</v>
      </c>
      <c r="AL137" s="127">
        <v>169054963</v>
      </c>
      <c r="AM137" s="127">
        <v>149824139</v>
      </c>
      <c r="AN137" s="127">
        <v>48281241</v>
      </c>
      <c r="AO137" s="127">
        <v>17786966</v>
      </c>
      <c r="AP137" s="272"/>
      <c r="AQ137" s="127">
        <v>117607373</v>
      </c>
      <c r="AR137" s="127">
        <v>51447590</v>
      </c>
      <c r="AS137" s="127">
        <v>377633310</v>
      </c>
      <c r="AT137" s="131">
        <v>412849900</v>
      </c>
      <c r="AU137" s="127">
        <v>256737700</v>
      </c>
      <c r="AV137" s="127">
        <v>156112200</v>
      </c>
      <c r="AW137" s="127"/>
      <c r="AX137" s="127">
        <v>147836600</v>
      </c>
      <c r="AY137" s="127">
        <v>58056600</v>
      </c>
      <c r="AZ137" s="127">
        <v>6580000</v>
      </c>
      <c r="BA137" s="126">
        <v>1516763000</v>
      </c>
      <c r="BB137" s="127">
        <v>665555000</v>
      </c>
      <c r="BC137" s="127">
        <v>440493000</v>
      </c>
      <c r="BD137" s="127">
        <v>410715000</v>
      </c>
      <c r="BE137" s="272"/>
      <c r="BF137" s="127">
        <v>71865</v>
      </c>
      <c r="BG137" s="272"/>
      <c r="BH137" s="272">
        <v>250</v>
      </c>
      <c r="BI137" s="109"/>
    </row>
    <row r="138" spans="1:61" ht="15" customHeight="1">
      <c r="A138" s="205">
        <v>2007</v>
      </c>
      <c r="B138" s="274" t="s">
        <v>255</v>
      </c>
      <c r="C138" s="274" t="s">
        <v>256</v>
      </c>
      <c r="D138" s="127">
        <v>174</v>
      </c>
      <c r="E138" s="272"/>
      <c r="F138" s="124">
        <v>752</v>
      </c>
      <c r="G138" s="274"/>
      <c r="H138" s="274" t="s">
        <v>257</v>
      </c>
      <c r="I138" s="126">
        <v>174</v>
      </c>
      <c r="J138" s="127">
        <v>130.6</v>
      </c>
      <c r="K138" s="150">
        <v>43.4</v>
      </c>
      <c r="L138" s="150">
        <v>1.1</v>
      </c>
      <c r="M138" s="150">
        <v>0.06</v>
      </c>
      <c r="N138" s="127">
        <v>306</v>
      </c>
      <c r="O138" s="128">
        <v>14.3</v>
      </c>
      <c r="P138" s="128">
        <v>10.3</v>
      </c>
      <c r="Q138" s="128">
        <f>R138+U138+V138</f>
        <v>14.299999999999999</v>
      </c>
      <c r="R138" s="128">
        <v>10</v>
      </c>
      <c r="S138" s="128">
        <v>7.5</v>
      </c>
      <c r="T138" s="128">
        <v>2.5</v>
      </c>
      <c r="U138" s="128">
        <v>3.2</v>
      </c>
      <c r="V138" s="128">
        <v>1.1</v>
      </c>
      <c r="W138" s="272"/>
      <c r="X138" s="127">
        <v>343</v>
      </c>
      <c r="Y138" s="126">
        <v>130.6</v>
      </c>
      <c r="Z138" s="129">
        <v>2.1</v>
      </c>
      <c r="AA138" s="130">
        <v>229</v>
      </c>
      <c r="AB138" s="130">
        <v>5475</v>
      </c>
      <c r="AC138" s="129">
        <v>13</v>
      </c>
      <c r="AD138" s="129">
        <v>9.2</v>
      </c>
      <c r="AE138" s="128">
        <v>3.8</v>
      </c>
      <c r="AF138" s="128">
        <v>3.8</v>
      </c>
      <c r="AG138" s="128">
        <v>3.8</v>
      </c>
      <c r="AH138" s="127">
        <v>456058949</v>
      </c>
      <c r="AI138" s="127">
        <v>321970929</v>
      </c>
      <c r="AJ138" s="127">
        <v>134088020</v>
      </c>
      <c r="AK138" s="127">
        <v>256596762</v>
      </c>
      <c r="AL138" s="127">
        <v>199462187</v>
      </c>
      <c r="AM138" s="127">
        <v>180302418</v>
      </c>
      <c r="AN138" s="127">
        <v>56027662</v>
      </c>
      <c r="AO138" s="127">
        <v>20266682</v>
      </c>
      <c r="AP138" s="272"/>
      <c r="AQ138" s="127">
        <v>141668511</v>
      </c>
      <c r="AR138" s="127">
        <v>57793676</v>
      </c>
      <c r="AS138" s="127">
        <v>446937770</v>
      </c>
      <c r="AT138" s="131">
        <v>465349800</v>
      </c>
      <c r="AU138" s="127">
        <v>272793000</v>
      </c>
      <c r="AV138" s="127">
        <v>192556800</v>
      </c>
      <c r="AW138" s="127"/>
      <c r="AX138" s="127">
        <v>163639600</v>
      </c>
      <c r="AY138" s="127">
        <v>56488700</v>
      </c>
      <c r="AZ138" s="127">
        <v>5520000</v>
      </c>
      <c r="BA138" s="126">
        <v>1510552000</v>
      </c>
      <c r="BB138" s="127">
        <v>664458000</v>
      </c>
      <c r="BC138" s="127">
        <v>438552000</v>
      </c>
      <c r="BD138" s="127">
        <v>407542000</v>
      </c>
      <c r="BE138" s="272"/>
      <c r="BF138" s="127">
        <v>84752</v>
      </c>
      <c r="BG138" s="272"/>
      <c r="BH138" s="272">
        <v>250</v>
      </c>
      <c r="BI138" s="109"/>
    </row>
    <row r="139" spans="1:61" ht="15" customHeight="1">
      <c r="A139" s="205">
        <v>2008</v>
      </c>
      <c r="B139" s="274" t="s">
        <v>255</v>
      </c>
      <c r="C139" s="274" t="s">
        <v>256</v>
      </c>
      <c r="D139" s="127">
        <v>174</v>
      </c>
      <c r="E139" s="272"/>
      <c r="F139" s="124">
        <v>748</v>
      </c>
      <c r="G139" s="274"/>
      <c r="H139" s="274" t="s">
        <v>257</v>
      </c>
      <c r="I139" s="126">
        <v>173.6</v>
      </c>
      <c r="J139" s="127">
        <v>130.2</v>
      </c>
      <c r="K139" s="150">
        <v>43.39</v>
      </c>
      <c r="L139" s="150">
        <v>1.22</v>
      </c>
      <c r="M139" s="150">
        <v>0.06</v>
      </c>
      <c r="N139" s="127">
        <v>306</v>
      </c>
      <c r="O139" s="128">
        <v>13.94</v>
      </c>
      <c r="P139" s="128">
        <v>10.5</v>
      </c>
      <c r="Q139" s="128">
        <v>13.94</v>
      </c>
      <c r="R139" s="128">
        <v>9.72</v>
      </c>
      <c r="S139" s="128">
        <v>7.29</v>
      </c>
      <c r="T139" s="128">
        <f>R139-S139</f>
        <v>2.4300000000000006</v>
      </c>
      <c r="U139" s="128">
        <v>4.2</v>
      </c>
      <c r="V139" s="128">
        <v>1.1</v>
      </c>
      <c r="W139" s="272"/>
      <c r="X139" s="127">
        <v>352</v>
      </c>
      <c r="Y139" s="126">
        <v>130.2</v>
      </c>
      <c r="Z139" s="129">
        <v>2.29</v>
      </c>
      <c r="AA139" s="130">
        <v>229</v>
      </c>
      <c r="AB139" s="130">
        <v>5356</v>
      </c>
      <c r="AC139" s="129">
        <v>12.62</v>
      </c>
      <c r="AD139" s="129">
        <v>8.89</v>
      </c>
      <c r="AE139" s="128">
        <v>3.74</v>
      </c>
      <c r="AF139" s="128">
        <v>3.74</v>
      </c>
      <c r="AG139" s="128">
        <v>3.74</v>
      </c>
      <c r="AH139" s="127">
        <v>471426780</v>
      </c>
      <c r="AI139" s="127">
        <v>330827174.38</v>
      </c>
      <c r="AJ139" s="127">
        <v>140599606</v>
      </c>
      <c r="AK139" s="127">
        <v>268365359</v>
      </c>
      <c r="AL139" s="127">
        <v>203061421</v>
      </c>
      <c r="AM139" s="127">
        <v>187792283</v>
      </c>
      <c r="AN139" s="127">
        <v>58597324</v>
      </c>
      <c r="AO139" s="127">
        <v>21975752</v>
      </c>
      <c r="AP139" s="272"/>
      <c r="AQ139" s="127">
        <v>143034890</v>
      </c>
      <c r="AR139" s="127">
        <v>60026531</v>
      </c>
      <c r="AS139" s="127">
        <v>466463720</v>
      </c>
      <c r="AT139" s="131">
        <v>509394400</v>
      </c>
      <c r="AU139" s="127">
        <v>305094400</v>
      </c>
      <c r="AV139" s="127">
        <v>204300000</v>
      </c>
      <c r="AW139" s="127"/>
      <c r="AX139" s="127">
        <v>174684500</v>
      </c>
      <c r="AY139" s="127">
        <v>61884300</v>
      </c>
      <c r="AZ139" s="127">
        <v>6042000</v>
      </c>
      <c r="BA139" s="126">
        <v>1478449224</v>
      </c>
      <c r="BB139" s="127">
        <v>812151932</v>
      </c>
      <c r="BC139" s="127">
        <v>662931568</v>
      </c>
      <c r="BD139" s="127">
        <v>3365724</v>
      </c>
      <c r="BE139" s="272"/>
      <c r="BF139" s="127">
        <v>59618</v>
      </c>
      <c r="BG139" s="272"/>
      <c r="BH139" s="272">
        <v>250</v>
      </c>
      <c r="BI139" s="109"/>
    </row>
    <row r="140" spans="1:61" ht="15" customHeight="1">
      <c r="A140" s="206">
        <v>2009</v>
      </c>
      <c r="B140" s="274" t="s">
        <v>255</v>
      </c>
      <c r="C140" s="274" t="s">
        <v>256</v>
      </c>
      <c r="D140" s="158">
        <v>175</v>
      </c>
      <c r="E140" s="272"/>
      <c r="F140" s="156">
        <v>922</v>
      </c>
      <c r="G140" s="274"/>
      <c r="H140" s="274" t="s">
        <v>257</v>
      </c>
      <c r="I140" s="157">
        <v>175</v>
      </c>
      <c r="J140" s="158">
        <v>131</v>
      </c>
      <c r="K140" s="163">
        <v>43.4</v>
      </c>
      <c r="L140" s="163">
        <v>1.31</v>
      </c>
      <c r="M140" s="163">
        <v>0.06</v>
      </c>
      <c r="N140" s="158">
        <v>308.8</v>
      </c>
      <c r="O140" s="159">
        <v>13.25</v>
      </c>
      <c r="P140" s="159">
        <v>2.92</v>
      </c>
      <c r="Q140" s="159">
        <v>13.25</v>
      </c>
      <c r="R140" s="159">
        <v>9.29</v>
      </c>
      <c r="S140" s="159">
        <v>7.1</v>
      </c>
      <c r="T140" s="159">
        <v>1.3</v>
      </c>
      <c r="U140" s="159">
        <v>3.96</v>
      </c>
      <c r="V140" s="159">
        <v>1.1</v>
      </c>
      <c r="W140" s="272"/>
      <c r="X140" s="158">
        <v>786</v>
      </c>
      <c r="Y140" s="157">
        <v>131</v>
      </c>
      <c r="Z140" s="160">
        <v>2.46</v>
      </c>
      <c r="AA140" s="130">
        <v>240.1</v>
      </c>
      <c r="AB140" s="130">
        <v>8920</v>
      </c>
      <c r="AC140" s="160">
        <v>12</v>
      </c>
      <c r="AD140" s="160">
        <v>8.3</v>
      </c>
      <c r="AE140" s="159">
        <f>AC140-AD140</f>
        <v>3.6999999999999993</v>
      </c>
      <c r="AF140" s="159">
        <v>3.7</v>
      </c>
      <c r="AG140" s="159">
        <v>3.7</v>
      </c>
      <c r="AH140" s="158">
        <v>522677900</v>
      </c>
      <c r="AI140" s="158">
        <v>337735800</v>
      </c>
      <c r="AJ140" s="158">
        <v>184942100</v>
      </c>
      <c r="AK140" s="158">
        <v>304963100</v>
      </c>
      <c r="AL140" s="158">
        <v>217714800</v>
      </c>
      <c r="AM140" s="158">
        <v>195435300</v>
      </c>
      <c r="AN140" s="158">
        <v>78991570</v>
      </c>
      <c r="AO140" s="158">
        <v>30536230</v>
      </c>
      <c r="AP140" s="272"/>
      <c r="AQ140" s="158">
        <v>142300500</v>
      </c>
      <c r="AR140" s="158">
        <v>75414300</v>
      </c>
      <c r="AS140" s="158">
        <v>522677900</v>
      </c>
      <c r="AT140" s="161">
        <v>580929600</v>
      </c>
      <c r="AU140" s="158">
        <v>346558700</v>
      </c>
      <c r="AV140" s="158">
        <v>234370900</v>
      </c>
      <c r="AW140" s="158"/>
      <c r="AX140" s="158">
        <v>228275000</v>
      </c>
      <c r="AY140" s="158">
        <v>72124900</v>
      </c>
      <c r="AZ140" s="158">
        <v>9193017</v>
      </c>
      <c r="BA140" s="157">
        <f>BB140+BC140+BD140</f>
        <v>1466545783</v>
      </c>
      <c r="BB140" s="158">
        <v>849754860</v>
      </c>
      <c r="BC140" s="158">
        <v>588319501</v>
      </c>
      <c r="BD140" s="158">
        <v>28471422</v>
      </c>
      <c r="BE140" s="272"/>
      <c r="BF140" s="158">
        <v>13344</v>
      </c>
      <c r="BG140" s="272"/>
      <c r="BH140" s="272">
        <v>250</v>
      </c>
      <c r="BI140" s="132">
        <v>12.03</v>
      </c>
    </row>
    <row r="141" spans="1:61" ht="15" customHeight="1">
      <c r="A141" s="205">
        <v>2010</v>
      </c>
      <c r="B141" s="275" t="s">
        <v>255</v>
      </c>
      <c r="C141" s="275" t="s">
        <v>256</v>
      </c>
      <c r="D141" s="127">
        <v>175</v>
      </c>
      <c r="E141" s="273"/>
      <c r="F141" s="124">
        <v>922</v>
      </c>
      <c r="G141" s="275"/>
      <c r="H141" s="275" t="s">
        <v>257</v>
      </c>
      <c r="I141" s="126">
        <v>175</v>
      </c>
      <c r="J141" s="127">
        <v>132</v>
      </c>
      <c r="K141" s="150">
        <v>43.41</v>
      </c>
      <c r="L141" s="150">
        <v>1.33</v>
      </c>
      <c r="M141" s="150">
        <v>0.06</v>
      </c>
      <c r="N141" s="127">
        <v>308.8</v>
      </c>
      <c r="O141" s="128">
        <v>13.41</v>
      </c>
      <c r="P141" s="128">
        <v>3.67</v>
      </c>
      <c r="Q141" s="128">
        <v>13.4</v>
      </c>
      <c r="R141" s="128">
        <v>9.32</v>
      </c>
      <c r="S141" s="128">
        <v>7.1</v>
      </c>
      <c r="T141" s="128">
        <v>1.35</v>
      </c>
      <c r="U141" s="128">
        <v>4.1</v>
      </c>
      <c r="V141" s="128">
        <v>1.1</v>
      </c>
      <c r="W141" s="273"/>
      <c r="X141" s="127">
        <v>830</v>
      </c>
      <c r="Y141" s="126">
        <v>132</v>
      </c>
      <c r="Z141" s="129">
        <v>2.62</v>
      </c>
      <c r="AA141" s="123">
        <v>240.1</v>
      </c>
      <c r="AB141" s="123">
        <v>12630</v>
      </c>
      <c r="AC141" s="129">
        <v>12</v>
      </c>
      <c r="AD141" s="129">
        <v>8.3</v>
      </c>
      <c r="AE141" s="128">
        <v>3.7</v>
      </c>
      <c r="AF141" s="128">
        <v>3.7</v>
      </c>
      <c r="AG141" s="128">
        <v>3.7</v>
      </c>
      <c r="AH141" s="127">
        <v>678669000</v>
      </c>
      <c r="AI141" s="127">
        <v>361238300</v>
      </c>
      <c r="AJ141" s="127">
        <v>317430700</v>
      </c>
      <c r="AK141" s="127">
        <v>405591700</v>
      </c>
      <c r="AL141" s="127">
        <v>273077300</v>
      </c>
      <c r="AM141" s="127">
        <v>211162800</v>
      </c>
      <c r="AN141" s="127">
        <v>153808750</v>
      </c>
      <c r="AO141" s="127">
        <v>40620150</v>
      </c>
      <c r="AP141" s="273"/>
      <c r="AQ141" s="127">
        <v>150075500</v>
      </c>
      <c r="AR141" s="127">
        <v>123001800</v>
      </c>
      <c r="AS141" s="127">
        <v>678669000</v>
      </c>
      <c r="AT141" s="131">
        <v>682781300</v>
      </c>
      <c r="AU141" s="127">
        <v>407749700</v>
      </c>
      <c r="AV141" s="127">
        <v>275031600</v>
      </c>
      <c r="AW141" s="127"/>
      <c r="AX141" s="127">
        <v>313845200</v>
      </c>
      <c r="AY141" s="127">
        <v>90463100</v>
      </c>
      <c r="AZ141" s="127">
        <v>5977000</v>
      </c>
      <c r="BA141" s="126">
        <f>BB141+BC141+BD141</f>
        <v>1431625988</v>
      </c>
      <c r="BB141" s="127">
        <v>838922153</v>
      </c>
      <c r="BC141" s="127">
        <v>585278323</v>
      </c>
      <c r="BD141" s="127">
        <v>7425512</v>
      </c>
      <c r="BE141" s="273"/>
      <c r="BF141" s="127">
        <v>30823</v>
      </c>
      <c r="BG141" s="273"/>
      <c r="BH141" s="273">
        <v>250</v>
      </c>
      <c r="BI141" s="109">
        <v>13.69</v>
      </c>
    </row>
    <row r="142" spans="1:60" s="74" customFormat="1" ht="6" customHeight="1" thickBot="1">
      <c r="A142" s="76"/>
      <c r="B142" s="81"/>
      <c r="C142" s="81"/>
      <c r="D142" s="75"/>
      <c r="E142" s="78"/>
      <c r="H142" s="82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4"/>
      <c r="U142" s="83"/>
      <c r="V142" s="83"/>
      <c r="W142" s="83"/>
      <c r="X142" s="78"/>
      <c r="Y142" s="83"/>
      <c r="Z142" s="83"/>
      <c r="AA142" s="83"/>
      <c r="AB142" s="78"/>
      <c r="AC142" s="83"/>
      <c r="AD142" s="83"/>
      <c r="AE142" s="83"/>
      <c r="AF142" s="83"/>
      <c r="AG142" s="83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85"/>
    </row>
    <row r="143" spans="1:61" ht="15" customHeight="1">
      <c r="A143" s="135">
        <v>2000</v>
      </c>
      <c r="B143" s="276" t="s">
        <v>309</v>
      </c>
      <c r="C143" s="276" t="s">
        <v>258</v>
      </c>
      <c r="D143" s="137">
        <v>147.4</v>
      </c>
      <c r="E143" s="296">
        <v>1</v>
      </c>
      <c r="F143" s="135">
        <v>434</v>
      </c>
      <c r="G143" s="269" t="s">
        <v>186</v>
      </c>
      <c r="H143" s="269" t="s">
        <v>187</v>
      </c>
      <c r="I143" s="115">
        <f aca="true" t="shared" si="37" ref="I143:I151">J143</f>
        <v>147.4</v>
      </c>
      <c r="J143" s="137">
        <v>147.4</v>
      </c>
      <c r="K143" s="269" t="s">
        <v>185</v>
      </c>
      <c r="L143" s="139">
        <v>0.812</v>
      </c>
      <c r="M143" s="139">
        <f aca="true" t="shared" si="38" ref="M143:M151">L143</f>
        <v>0.812</v>
      </c>
      <c r="N143" s="137">
        <v>360.5</v>
      </c>
      <c r="O143" s="140">
        <v>12.85</v>
      </c>
      <c r="P143" s="140">
        <f aca="true" t="shared" si="39" ref="P143:P149">Q143</f>
        <v>12.82</v>
      </c>
      <c r="Q143" s="140">
        <f aca="true" t="shared" si="40" ref="Q143:Q149">R143+U143+V143</f>
        <v>12.82</v>
      </c>
      <c r="R143" s="140">
        <f aca="true" t="shared" si="41" ref="R143:R151">S143</f>
        <v>9.52</v>
      </c>
      <c r="S143" s="140">
        <v>9.52</v>
      </c>
      <c r="T143" s="269" t="s">
        <v>185</v>
      </c>
      <c r="U143" s="140">
        <v>1.4</v>
      </c>
      <c r="V143" s="140">
        <v>1.9</v>
      </c>
      <c r="W143" s="269" t="s">
        <v>185</v>
      </c>
      <c r="X143" s="137">
        <v>901</v>
      </c>
      <c r="Y143" s="115">
        <v>147.4</v>
      </c>
      <c r="Z143" s="112">
        <v>0.75</v>
      </c>
      <c r="AA143" s="141">
        <v>272.16</v>
      </c>
      <c r="AB143" s="141">
        <v>828</v>
      </c>
      <c r="AC143" s="112">
        <f aca="true" t="shared" si="42" ref="AC143:AC153">AD143+AE143</f>
        <v>13.14</v>
      </c>
      <c r="AD143" s="112">
        <v>10.89</v>
      </c>
      <c r="AE143" s="140">
        <v>2.25</v>
      </c>
      <c r="AF143" s="140">
        <v>10.27</v>
      </c>
      <c r="AG143" s="140">
        <v>10.27</v>
      </c>
      <c r="AH143" s="137">
        <f aca="true" t="shared" si="43" ref="AH143:AH151">AI143+AJ143</f>
        <v>297498583</v>
      </c>
      <c r="AI143" s="137">
        <f aca="true" t="shared" si="44" ref="AI143:AI151">AM143+AQ143+AN143</f>
        <v>173334935</v>
      </c>
      <c r="AJ143" s="137">
        <v>124163648</v>
      </c>
      <c r="AK143" s="137">
        <f>AM143+AN143+AO143</f>
        <v>57666985</v>
      </c>
      <c r="AL143" s="137">
        <f>AQ143+AR143</f>
        <v>144243156</v>
      </c>
      <c r="AM143" s="137">
        <v>48993589</v>
      </c>
      <c r="AN143" s="137">
        <v>4768451</v>
      </c>
      <c r="AO143" s="137">
        <f>3901459+3486</f>
        <v>3904945</v>
      </c>
      <c r="AP143" s="269" t="s">
        <v>225</v>
      </c>
      <c r="AQ143" s="137">
        <v>119572895</v>
      </c>
      <c r="AR143" s="137">
        <v>24670261</v>
      </c>
      <c r="AS143" s="137">
        <v>159926854</v>
      </c>
      <c r="AT143" s="142">
        <f aca="true" t="shared" si="45" ref="AT143:AT150">AU143+AV143+AW143</f>
        <v>311241930</v>
      </c>
      <c r="AU143" s="137">
        <v>139800160</v>
      </c>
      <c r="AV143" s="137">
        <v>140020110</v>
      </c>
      <c r="AW143" s="137">
        <v>31421660</v>
      </c>
      <c r="AX143" s="137">
        <v>133351210</v>
      </c>
      <c r="AY143" s="137">
        <v>27117200</v>
      </c>
      <c r="AZ143" s="137">
        <f>7654300+731200</f>
        <v>8385500</v>
      </c>
      <c r="BA143" s="115">
        <f aca="true" t="shared" si="46" ref="BA143:BA151">BB143+BC143+BD143</f>
        <v>428045648</v>
      </c>
      <c r="BB143" s="137">
        <f>0.52*428045648</f>
        <v>222583736.96</v>
      </c>
      <c r="BC143" s="137">
        <f>0.41*428045648</f>
        <v>175498715.67999998</v>
      </c>
      <c r="BD143" s="137">
        <f>0.07*428045648</f>
        <v>29963195.360000003</v>
      </c>
      <c r="BE143" s="269" t="s">
        <v>185</v>
      </c>
      <c r="BF143" s="135">
        <v>1248661000</v>
      </c>
      <c r="BG143" s="269" t="s">
        <v>185</v>
      </c>
      <c r="BH143" s="269">
        <v>250</v>
      </c>
      <c r="BI143" s="109"/>
    </row>
    <row r="144" spans="1:61" ht="15" customHeight="1">
      <c r="A144" s="135">
        <v>2001</v>
      </c>
      <c r="B144" s="274" t="s">
        <v>309</v>
      </c>
      <c r="C144" s="274" t="s">
        <v>258</v>
      </c>
      <c r="D144" s="137">
        <v>148.8</v>
      </c>
      <c r="E144" s="272">
        <v>1</v>
      </c>
      <c r="F144" s="135">
        <v>440</v>
      </c>
      <c r="G144" s="274"/>
      <c r="H144" s="274" t="s">
        <v>187</v>
      </c>
      <c r="I144" s="115">
        <f t="shared" si="37"/>
        <v>148.8</v>
      </c>
      <c r="J144" s="137">
        <v>148.8</v>
      </c>
      <c r="K144" s="274" t="s">
        <v>185</v>
      </c>
      <c r="L144" s="139">
        <v>0.935</v>
      </c>
      <c r="M144" s="139">
        <f t="shared" si="38"/>
        <v>0.935</v>
      </c>
      <c r="N144" s="137">
        <v>362.1</v>
      </c>
      <c r="O144" s="140">
        <v>11.99</v>
      </c>
      <c r="P144" s="140">
        <f t="shared" si="39"/>
        <v>11.969999999999999</v>
      </c>
      <c r="Q144" s="140">
        <f t="shared" si="40"/>
        <v>11.969999999999999</v>
      </c>
      <c r="R144" s="140">
        <f t="shared" si="41"/>
        <v>8.01</v>
      </c>
      <c r="S144" s="140">
        <v>8.01</v>
      </c>
      <c r="T144" s="274" t="s">
        <v>185</v>
      </c>
      <c r="U144" s="140">
        <v>1.61</v>
      </c>
      <c r="V144" s="140">
        <v>2.35</v>
      </c>
      <c r="W144" s="274" t="s">
        <v>185</v>
      </c>
      <c r="X144" s="137">
        <v>921</v>
      </c>
      <c r="Y144" s="115">
        <v>148.8</v>
      </c>
      <c r="Z144" s="112">
        <v>0.88</v>
      </c>
      <c r="AA144" s="141">
        <v>272.16</v>
      </c>
      <c r="AB144" s="141">
        <v>1110</v>
      </c>
      <c r="AC144" s="112">
        <f t="shared" si="42"/>
        <v>12.31</v>
      </c>
      <c r="AD144" s="112">
        <v>8.89</v>
      </c>
      <c r="AE144" s="140">
        <v>3.42</v>
      </c>
      <c r="AF144" s="140">
        <v>10.28</v>
      </c>
      <c r="AG144" s="140">
        <v>10.28</v>
      </c>
      <c r="AH144" s="137">
        <f t="shared" si="43"/>
        <v>357317144</v>
      </c>
      <c r="AI144" s="137">
        <f t="shared" si="44"/>
        <v>194411005</v>
      </c>
      <c r="AJ144" s="137">
        <v>162906139</v>
      </c>
      <c r="AK144" s="137">
        <f aca="true" t="shared" si="47" ref="AK144:AK150">AM144+AN144+AO144</f>
        <v>75906848</v>
      </c>
      <c r="AL144" s="137">
        <f aca="true" t="shared" si="48" ref="AL144:AL150">AQ144+AR144</f>
        <v>177162948</v>
      </c>
      <c r="AM144" s="137">
        <v>56132823</v>
      </c>
      <c r="AN144" s="137">
        <v>10875714</v>
      </c>
      <c r="AO144" s="137">
        <v>8898311</v>
      </c>
      <c r="AP144" s="274" t="s">
        <v>225</v>
      </c>
      <c r="AQ144" s="137">
        <v>127402468</v>
      </c>
      <c r="AR144" s="137">
        <v>49760480</v>
      </c>
      <c r="AS144" s="137">
        <v>195433591</v>
      </c>
      <c r="AT144" s="142">
        <f t="shared" si="45"/>
        <v>357025070</v>
      </c>
      <c r="AU144" s="137">
        <v>139965160</v>
      </c>
      <c r="AV144" s="137">
        <v>153060520</v>
      </c>
      <c r="AW144" s="137">
        <v>63999390</v>
      </c>
      <c r="AX144" s="137">
        <v>139429340</v>
      </c>
      <c r="AY144" s="137">
        <v>25004130</v>
      </c>
      <c r="AZ144" s="137">
        <f>3913500+1332710</f>
        <v>5246210</v>
      </c>
      <c r="BA144" s="115">
        <f t="shared" si="46"/>
        <v>608084405.9999999</v>
      </c>
      <c r="BB144" s="137">
        <f>608084406*0.52</f>
        <v>316203891.12</v>
      </c>
      <c r="BC144" s="137">
        <f>608084406*0.41</f>
        <v>249314606.45999998</v>
      </c>
      <c r="BD144" s="137">
        <f>0.07*608084406</f>
        <v>42565908.42</v>
      </c>
      <c r="BE144" s="274" t="s">
        <v>185</v>
      </c>
      <c r="BF144" s="115">
        <v>758071000</v>
      </c>
      <c r="BG144" s="274" t="s">
        <v>185</v>
      </c>
      <c r="BH144" s="274">
        <v>250</v>
      </c>
      <c r="BI144" s="109"/>
    </row>
    <row r="145" spans="1:61" ht="15" customHeight="1">
      <c r="A145" s="135">
        <v>2002</v>
      </c>
      <c r="B145" s="274" t="s">
        <v>309</v>
      </c>
      <c r="C145" s="274" t="s">
        <v>258</v>
      </c>
      <c r="D145" s="137">
        <v>150.5</v>
      </c>
      <c r="E145" s="272">
        <v>1</v>
      </c>
      <c r="F145" s="135">
        <v>449</v>
      </c>
      <c r="G145" s="274"/>
      <c r="H145" s="274" t="s">
        <v>187</v>
      </c>
      <c r="I145" s="115">
        <f t="shared" si="37"/>
        <v>150.5</v>
      </c>
      <c r="J145" s="137">
        <v>150.5</v>
      </c>
      <c r="K145" s="274" t="s">
        <v>185</v>
      </c>
      <c r="L145" s="139">
        <v>1.081</v>
      </c>
      <c r="M145" s="139">
        <f t="shared" si="38"/>
        <v>1.081</v>
      </c>
      <c r="N145" s="137">
        <v>362.13</v>
      </c>
      <c r="O145" s="140">
        <v>10.58</v>
      </c>
      <c r="P145" s="140">
        <f t="shared" si="39"/>
        <v>10.42</v>
      </c>
      <c r="Q145" s="140">
        <f t="shared" si="40"/>
        <v>10.42</v>
      </c>
      <c r="R145" s="140">
        <f t="shared" si="41"/>
        <v>7.45</v>
      </c>
      <c r="S145" s="140">
        <v>7.45</v>
      </c>
      <c r="T145" s="274" t="s">
        <v>185</v>
      </c>
      <c r="U145" s="140">
        <v>1.11</v>
      </c>
      <c r="V145" s="140">
        <v>1.86</v>
      </c>
      <c r="W145" s="274" t="s">
        <v>185</v>
      </c>
      <c r="X145" s="137">
        <v>950</v>
      </c>
      <c r="Y145" s="115">
        <v>150.5</v>
      </c>
      <c r="Z145" s="112">
        <v>0.98</v>
      </c>
      <c r="AA145" s="141">
        <v>272.28</v>
      </c>
      <c r="AB145" s="141">
        <v>1269</v>
      </c>
      <c r="AC145" s="112">
        <f t="shared" si="42"/>
        <v>7.72</v>
      </c>
      <c r="AD145" s="112">
        <v>5.77</v>
      </c>
      <c r="AE145" s="140">
        <v>1.95</v>
      </c>
      <c r="AF145" s="140">
        <v>7.72</v>
      </c>
      <c r="AG145" s="140">
        <v>7.72</v>
      </c>
      <c r="AH145" s="137">
        <f t="shared" si="43"/>
        <v>320005345</v>
      </c>
      <c r="AI145" s="137">
        <f t="shared" si="44"/>
        <v>162662595</v>
      </c>
      <c r="AJ145" s="137">
        <v>157342750</v>
      </c>
      <c r="AK145" s="137">
        <f t="shared" si="47"/>
        <v>70174498</v>
      </c>
      <c r="AL145" s="137">
        <f t="shared" si="48"/>
        <v>133390598</v>
      </c>
      <c r="AM145" s="137">
        <v>54043276</v>
      </c>
      <c r="AN145" s="137">
        <v>8872173</v>
      </c>
      <c r="AO145" s="137">
        <v>7259049</v>
      </c>
      <c r="AP145" s="274" t="s">
        <v>225</v>
      </c>
      <c r="AQ145" s="137">
        <v>99747146</v>
      </c>
      <c r="AR145" s="137">
        <v>33643452</v>
      </c>
      <c r="AS145" s="137">
        <v>163200405</v>
      </c>
      <c r="AT145" s="142">
        <f t="shared" si="45"/>
        <v>441086600</v>
      </c>
      <c r="AU145" s="137">
        <v>238830590</v>
      </c>
      <c r="AV145" s="137">
        <v>136913880</v>
      </c>
      <c r="AW145" s="137">
        <v>65342130</v>
      </c>
      <c r="AX145" s="137">
        <v>145149940</v>
      </c>
      <c r="AY145" s="137">
        <v>33737680</v>
      </c>
      <c r="AZ145" s="137">
        <f>21797270+1920550</f>
        <v>23717820</v>
      </c>
      <c r="BA145" s="115">
        <f t="shared" si="46"/>
        <v>659954861</v>
      </c>
      <c r="BB145" s="137">
        <f>659954861*0.52</f>
        <v>343176527.72</v>
      </c>
      <c r="BC145" s="137">
        <f>0.41*659954861</f>
        <v>270581493.01</v>
      </c>
      <c r="BD145" s="137">
        <f>0.07*659954861</f>
        <v>46196840.27</v>
      </c>
      <c r="BE145" s="274" t="s">
        <v>185</v>
      </c>
      <c r="BF145" s="115">
        <v>478894000</v>
      </c>
      <c r="BG145" s="274" t="s">
        <v>185</v>
      </c>
      <c r="BH145" s="274">
        <v>250</v>
      </c>
      <c r="BI145" s="109"/>
    </row>
    <row r="146" spans="1:61" ht="15" customHeight="1">
      <c r="A146" s="135">
        <v>2003</v>
      </c>
      <c r="B146" s="274" t="s">
        <v>309</v>
      </c>
      <c r="C146" s="274" t="s">
        <v>258</v>
      </c>
      <c r="D146" s="137">
        <v>151.6</v>
      </c>
      <c r="E146" s="272">
        <v>1</v>
      </c>
      <c r="F146" s="135">
        <v>461</v>
      </c>
      <c r="G146" s="274"/>
      <c r="H146" s="274" t="s">
        <v>187</v>
      </c>
      <c r="I146" s="115">
        <f t="shared" si="37"/>
        <v>151.6</v>
      </c>
      <c r="J146" s="137">
        <v>151.6</v>
      </c>
      <c r="K146" s="274" t="s">
        <v>185</v>
      </c>
      <c r="L146" s="139">
        <v>1.271</v>
      </c>
      <c r="M146" s="139">
        <f t="shared" si="38"/>
        <v>1.271</v>
      </c>
      <c r="N146" s="137">
        <v>362.88</v>
      </c>
      <c r="O146" s="140">
        <v>8.45</v>
      </c>
      <c r="P146" s="140">
        <f t="shared" si="39"/>
        <v>8.3</v>
      </c>
      <c r="Q146" s="140">
        <f t="shared" si="40"/>
        <v>8.3</v>
      </c>
      <c r="R146" s="140">
        <f t="shared" si="41"/>
        <v>5.94</v>
      </c>
      <c r="S146" s="140">
        <v>5.94</v>
      </c>
      <c r="T146" s="274" t="s">
        <v>185</v>
      </c>
      <c r="U146" s="140">
        <v>0.76</v>
      </c>
      <c r="V146" s="140">
        <v>1.6</v>
      </c>
      <c r="W146" s="274" t="s">
        <v>185</v>
      </c>
      <c r="X146" s="137">
        <v>847</v>
      </c>
      <c r="Y146" s="115">
        <v>151.6</v>
      </c>
      <c r="Z146" s="112">
        <v>1.15</v>
      </c>
      <c r="AA146" s="141">
        <v>272.82</v>
      </c>
      <c r="AB146" s="141">
        <v>1265</v>
      </c>
      <c r="AC146" s="112">
        <f t="shared" si="42"/>
        <v>7.3</v>
      </c>
      <c r="AD146" s="112">
        <v>5.52</v>
      </c>
      <c r="AE146" s="140">
        <v>1.78</v>
      </c>
      <c r="AF146" s="140">
        <v>7.3</v>
      </c>
      <c r="AG146" s="140">
        <v>7.3</v>
      </c>
      <c r="AH146" s="137">
        <f t="shared" si="43"/>
        <v>315350361</v>
      </c>
      <c r="AI146" s="137">
        <f t="shared" si="44"/>
        <v>159867622</v>
      </c>
      <c r="AJ146" s="137">
        <v>155482739</v>
      </c>
      <c r="AK146" s="137">
        <f t="shared" si="47"/>
        <v>62707724</v>
      </c>
      <c r="AL146" s="137">
        <f t="shared" si="48"/>
        <v>138560113</v>
      </c>
      <c r="AM146" s="137">
        <v>46035289</v>
      </c>
      <c r="AN146" s="137">
        <v>9169838</v>
      </c>
      <c r="AO146" s="137">
        <v>7502597</v>
      </c>
      <c r="AP146" s="274" t="s">
        <v>225</v>
      </c>
      <c r="AQ146" s="137">
        <v>104662495</v>
      </c>
      <c r="AR146" s="137">
        <v>33897618</v>
      </c>
      <c r="AS146" s="137">
        <v>198618932</v>
      </c>
      <c r="AT146" s="142">
        <f t="shared" si="45"/>
        <v>609295200</v>
      </c>
      <c r="AU146" s="137">
        <v>359896590</v>
      </c>
      <c r="AV146" s="137">
        <v>170622870</v>
      </c>
      <c r="AW146" s="137">
        <v>78775740</v>
      </c>
      <c r="AX146" s="137">
        <v>180127899</v>
      </c>
      <c r="AY146" s="137">
        <v>35035400</v>
      </c>
      <c r="AZ146" s="137">
        <f>12731200+2237200</f>
        <v>14968400</v>
      </c>
      <c r="BA146" s="115">
        <f t="shared" si="46"/>
        <v>1396148325.9999998</v>
      </c>
      <c r="BB146" s="137">
        <f>0.52*1396148326</f>
        <v>725997129.52</v>
      </c>
      <c r="BC146" s="137">
        <f>0.41*1396148326</f>
        <v>572420813.66</v>
      </c>
      <c r="BD146" s="137">
        <f>0.07*1396148326</f>
        <v>97730382.82000001</v>
      </c>
      <c r="BE146" s="274" t="s">
        <v>185</v>
      </c>
      <c r="BF146" s="115">
        <v>425439000</v>
      </c>
      <c r="BG146" s="274" t="s">
        <v>185</v>
      </c>
      <c r="BH146" s="274">
        <v>250</v>
      </c>
      <c r="BI146" s="109"/>
    </row>
    <row r="147" spans="1:61" ht="15" customHeight="1">
      <c r="A147" s="135">
        <v>2004</v>
      </c>
      <c r="B147" s="274" t="s">
        <v>309</v>
      </c>
      <c r="C147" s="274" t="s">
        <v>258</v>
      </c>
      <c r="D147" s="137">
        <v>153</v>
      </c>
      <c r="E147" s="272">
        <v>1</v>
      </c>
      <c r="F147" s="135">
        <v>473</v>
      </c>
      <c r="G147" s="274"/>
      <c r="H147" s="274" t="s">
        <v>187</v>
      </c>
      <c r="I147" s="115">
        <f t="shared" si="37"/>
        <v>153</v>
      </c>
      <c r="J147" s="137">
        <v>153</v>
      </c>
      <c r="K147" s="274" t="s">
        <v>185</v>
      </c>
      <c r="L147" s="139">
        <v>1.472</v>
      </c>
      <c r="M147" s="139">
        <f t="shared" si="38"/>
        <v>1.472</v>
      </c>
      <c r="N147" s="137">
        <v>363.13</v>
      </c>
      <c r="O147" s="140">
        <v>7.98</v>
      </c>
      <c r="P147" s="140">
        <f t="shared" si="39"/>
        <v>7.7</v>
      </c>
      <c r="Q147" s="140">
        <f t="shared" si="40"/>
        <v>7.7</v>
      </c>
      <c r="R147" s="140">
        <f t="shared" si="41"/>
        <v>4.82</v>
      </c>
      <c r="S147" s="140">
        <v>4.82</v>
      </c>
      <c r="T147" s="274" t="s">
        <v>185</v>
      </c>
      <c r="U147" s="140">
        <v>0.88</v>
      </c>
      <c r="V147" s="140">
        <v>2</v>
      </c>
      <c r="W147" s="274" t="s">
        <v>185</v>
      </c>
      <c r="X147" s="137">
        <v>782</v>
      </c>
      <c r="Y147" s="115">
        <v>153</v>
      </c>
      <c r="Z147" s="112">
        <v>1.2</v>
      </c>
      <c r="AA147" s="141">
        <v>272.87</v>
      </c>
      <c r="AB147" s="141">
        <v>1527</v>
      </c>
      <c r="AC147" s="112">
        <f t="shared" si="42"/>
        <v>7.75</v>
      </c>
      <c r="AD147" s="112">
        <v>5.69</v>
      </c>
      <c r="AE147" s="140">
        <v>2.06</v>
      </c>
      <c r="AF147" s="140">
        <v>7.75</v>
      </c>
      <c r="AG147" s="140">
        <v>7.75</v>
      </c>
      <c r="AH147" s="137">
        <f t="shared" si="43"/>
        <v>333072514</v>
      </c>
      <c r="AI147" s="137">
        <f t="shared" si="44"/>
        <v>175331978</v>
      </c>
      <c r="AJ147" s="137">
        <v>157740536</v>
      </c>
      <c r="AK147" s="137">
        <f t="shared" si="47"/>
        <v>70712919</v>
      </c>
      <c r="AL147" s="137">
        <f t="shared" si="48"/>
        <v>157877119</v>
      </c>
      <c r="AM147" s="137">
        <v>45821307</v>
      </c>
      <c r="AN147" s="137">
        <v>13690386</v>
      </c>
      <c r="AO147" s="137">
        <v>11201226</v>
      </c>
      <c r="AP147" s="274" t="s">
        <v>225</v>
      </c>
      <c r="AQ147" s="137">
        <v>115820285</v>
      </c>
      <c r="AR147" s="137">
        <v>42056834</v>
      </c>
      <c r="AS147" s="137">
        <v>225438399</v>
      </c>
      <c r="AT147" s="142">
        <f t="shared" si="45"/>
        <v>641774900</v>
      </c>
      <c r="AU147" s="137">
        <v>319520700</v>
      </c>
      <c r="AV147" s="137">
        <v>235449060</v>
      </c>
      <c r="AW147" s="137">
        <v>86805140</v>
      </c>
      <c r="AX147" s="137">
        <v>197591811</v>
      </c>
      <c r="AY147" s="137">
        <v>43066110</v>
      </c>
      <c r="AZ147" s="137">
        <f>13008730+2065100</f>
        <v>15073830</v>
      </c>
      <c r="BA147" s="115">
        <f t="shared" si="46"/>
        <v>325573272</v>
      </c>
      <c r="BB147" s="137">
        <f>0.52*325573272</f>
        <v>169298101.44</v>
      </c>
      <c r="BC147" s="137">
        <f>0.41*325573272</f>
        <v>133485041.52</v>
      </c>
      <c r="BD147" s="137">
        <f>0.07*325573272</f>
        <v>22790129.040000003</v>
      </c>
      <c r="BE147" s="274" t="s">
        <v>185</v>
      </c>
      <c r="BF147" s="115">
        <v>278267500</v>
      </c>
      <c r="BG147" s="274" t="s">
        <v>185</v>
      </c>
      <c r="BH147" s="274">
        <v>250</v>
      </c>
      <c r="BI147" s="109"/>
    </row>
    <row r="148" spans="1:61" ht="15" customHeight="1">
      <c r="A148" s="135">
        <v>2005</v>
      </c>
      <c r="B148" s="274" t="s">
        <v>309</v>
      </c>
      <c r="C148" s="274" t="s">
        <v>258</v>
      </c>
      <c r="D148" s="137">
        <v>156.6</v>
      </c>
      <c r="E148" s="272">
        <v>1</v>
      </c>
      <c r="F148" s="135">
        <v>461</v>
      </c>
      <c r="G148" s="274"/>
      <c r="H148" s="274" t="s">
        <v>187</v>
      </c>
      <c r="I148" s="115">
        <f t="shared" si="37"/>
        <v>156.6</v>
      </c>
      <c r="J148" s="137">
        <v>156.6</v>
      </c>
      <c r="K148" s="274" t="s">
        <v>185</v>
      </c>
      <c r="L148" s="139">
        <v>1.732</v>
      </c>
      <c r="M148" s="139">
        <f t="shared" si="38"/>
        <v>1.732</v>
      </c>
      <c r="N148" s="137">
        <v>363.84</v>
      </c>
      <c r="O148" s="140">
        <v>8.25</v>
      </c>
      <c r="P148" s="140">
        <f t="shared" si="39"/>
        <v>8.04</v>
      </c>
      <c r="Q148" s="140">
        <f t="shared" si="40"/>
        <v>8.04</v>
      </c>
      <c r="R148" s="140">
        <f t="shared" si="41"/>
        <v>4.96</v>
      </c>
      <c r="S148" s="140">
        <v>4.96</v>
      </c>
      <c r="T148" s="274" t="s">
        <v>185</v>
      </c>
      <c r="U148" s="140">
        <v>0.97</v>
      </c>
      <c r="V148" s="140">
        <v>2.11</v>
      </c>
      <c r="W148" s="274" t="s">
        <v>185</v>
      </c>
      <c r="X148" s="137">
        <v>962</v>
      </c>
      <c r="Y148" s="115">
        <v>156.6</v>
      </c>
      <c r="Z148" s="112">
        <v>1.5</v>
      </c>
      <c r="AA148" s="141">
        <v>273.08</v>
      </c>
      <c r="AB148" s="141">
        <v>1645</v>
      </c>
      <c r="AC148" s="112">
        <f t="shared" si="42"/>
        <v>8.120000000000001</v>
      </c>
      <c r="AD148" s="112">
        <v>5.88</v>
      </c>
      <c r="AE148" s="140">
        <v>2.24</v>
      </c>
      <c r="AF148" s="140">
        <v>8.12</v>
      </c>
      <c r="AG148" s="140">
        <v>8.12</v>
      </c>
      <c r="AH148" s="137">
        <f t="shared" si="43"/>
        <v>393730282</v>
      </c>
      <c r="AI148" s="137">
        <f t="shared" si="44"/>
        <v>204084845</v>
      </c>
      <c r="AJ148" s="137">
        <v>189645437</v>
      </c>
      <c r="AK148" s="137">
        <f>AM148+AN148+AO148</f>
        <v>88495017</v>
      </c>
      <c r="AL148" s="137">
        <f t="shared" si="48"/>
        <v>178578815</v>
      </c>
      <c r="AM148" s="137">
        <v>57610916</v>
      </c>
      <c r="AN148" s="137">
        <v>16986255</v>
      </c>
      <c r="AO148" s="137">
        <v>13897846</v>
      </c>
      <c r="AP148" s="274" t="s">
        <v>225</v>
      </c>
      <c r="AQ148" s="137">
        <v>129487674</v>
      </c>
      <c r="AR148" s="137">
        <v>49091141</v>
      </c>
      <c r="AS148" s="137">
        <v>294487636</v>
      </c>
      <c r="AT148" s="142">
        <f t="shared" si="45"/>
        <v>650573700</v>
      </c>
      <c r="AU148" s="137">
        <v>342796640</v>
      </c>
      <c r="AV148" s="137">
        <v>218762770</v>
      </c>
      <c r="AW148" s="137">
        <v>89014290</v>
      </c>
      <c r="AX148" s="137">
        <v>207262556</v>
      </c>
      <c r="AY148" s="137">
        <v>45817690</v>
      </c>
      <c r="AZ148" s="137">
        <f>14409020+2065100</f>
        <v>16474120</v>
      </c>
      <c r="BA148" s="115">
        <f t="shared" si="46"/>
        <v>320977949</v>
      </c>
      <c r="BB148" s="137">
        <f>0.52*320977949</f>
        <v>166908533.48000002</v>
      </c>
      <c r="BC148" s="137">
        <f>0.41*320977949</f>
        <v>131600959.08999999</v>
      </c>
      <c r="BD148" s="137">
        <f>0.07*320977949</f>
        <v>22468456.430000003</v>
      </c>
      <c r="BE148" s="274" t="s">
        <v>185</v>
      </c>
      <c r="BF148" s="115">
        <v>267341500</v>
      </c>
      <c r="BG148" s="274" t="s">
        <v>185</v>
      </c>
      <c r="BH148" s="274">
        <v>250</v>
      </c>
      <c r="BI148" s="109"/>
    </row>
    <row r="149" spans="1:61" ht="15" customHeight="1">
      <c r="A149" s="135">
        <v>2006</v>
      </c>
      <c r="B149" s="274" t="s">
        <v>309</v>
      </c>
      <c r="C149" s="274" t="s">
        <v>258</v>
      </c>
      <c r="D149" s="137">
        <v>158</v>
      </c>
      <c r="E149" s="272">
        <v>1</v>
      </c>
      <c r="F149" s="135">
        <v>449</v>
      </c>
      <c r="G149" s="274"/>
      <c r="H149" s="274" t="s">
        <v>187</v>
      </c>
      <c r="I149" s="115">
        <f t="shared" si="37"/>
        <v>158</v>
      </c>
      <c r="J149" s="137">
        <v>158</v>
      </c>
      <c r="K149" s="274" t="s">
        <v>185</v>
      </c>
      <c r="L149" s="139">
        <v>1.755</v>
      </c>
      <c r="M149" s="139">
        <f t="shared" si="38"/>
        <v>1.755</v>
      </c>
      <c r="N149" s="137">
        <v>371.14</v>
      </c>
      <c r="O149" s="140">
        <v>9.41</v>
      </c>
      <c r="P149" s="140">
        <f t="shared" si="39"/>
        <v>9.3</v>
      </c>
      <c r="Q149" s="140">
        <f t="shared" si="40"/>
        <v>9.3</v>
      </c>
      <c r="R149" s="140">
        <f t="shared" si="41"/>
        <v>5.16</v>
      </c>
      <c r="S149" s="140">
        <v>5.16</v>
      </c>
      <c r="T149" s="274" t="s">
        <v>185</v>
      </c>
      <c r="U149" s="140">
        <v>1.44</v>
      </c>
      <c r="V149" s="140">
        <v>2.7</v>
      </c>
      <c r="W149" s="274" t="s">
        <v>185</v>
      </c>
      <c r="X149" s="137">
        <v>1064</v>
      </c>
      <c r="Y149" s="115">
        <v>158</v>
      </c>
      <c r="Z149" s="112">
        <v>1.55</v>
      </c>
      <c r="AA149" s="141">
        <v>274.69</v>
      </c>
      <c r="AB149" s="141">
        <v>1516</v>
      </c>
      <c r="AC149" s="112">
        <f t="shared" si="42"/>
        <v>9.41</v>
      </c>
      <c r="AD149" s="112">
        <v>6.54</v>
      </c>
      <c r="AE149" s="140">
        <v>2.87</v>
      </c>
      <c r="AF149" s="140">
        <v>9.41</v>
      </c>
      <c r="AG149" s="140">
        <v>9.41</v>
      </c>
      <c r="AH149" s="137">
        <f t="shared" si="43"/>
        <v>440036150</v>
      </c>
      <c r="AI149" s="137">
        <f t="shared" si="44"/>
        <v>249248852</v>
      </c>
      <c r="AJ149" s="137">
        <v>190787298</v>
      </c>
      <c r="AK149" s="137">
        <f t="shared" si="47"/>
        <v>122632175</v>
      </c>
      <c r="AL149" s="137">
        <f t="shared" si="48"/>
        <v>215881784</v>
      </c>
      <c r="AM149" s="137">
        <v>76784921</v>
      </c>
      <c r="AN149" s="137">
        <v>22397914</v>
      </c>
      <c r="AO149" s="137">
        <v>23449340</v>
      </c>
      <c r="AP149" s="274" t="s">
        <v>225</v>
      </c>
      <c r="AQ149" s="137">
        <v>150066017</v>
      </c>
      <c r="AR149" s="137">
        <v>65815767</v>
      </c>
      <c r="AS149" s="137">
        <v>338844856</v>
      </c>
      <c r="AT149" s="142">
        <f t="shared" si="45"/>
        <v>690220800</v>
      </c>
      <c r="AU149" s="137">
        <v>248295490</v>
      </c>
      <c r="AV149" s="137">
        <v>269025090</v>
      </c>
      <c r="AW149" s="137">
        <v>172900220</v>
      </c>
      <c r="AX149" s="137">
        <v>225914310</v>
      </c>
      <c r="AY149" s="137">
        <v>47597177</v>
      </c>
      <c r="AZ149" s="137">
        <v>19197392</v>
      </c>
      <c r="BA149" s="115">
        <f t="shared" si="46"/>
        <v>330130209</v>
      </c>
      <c r="BB149" s="137">
        <f>0.52*330130209</f>
        <v>171667708.68</v>
      </c>
      <c r="BC149" s="137">
        <f>330130209*0.41</f>
        <v>135353385.69</v>
      </c>
      <c r="BD149" s="137">
        <f>0.07*330130209</f>
        <v>23109114.630000003</v>
      </c>
      <c r="BE149" s="274" t="s">
        <v>185</v>
      </c>
      <c r="BF149" s="115">
        <v>231719900</v>
      </c>
      <c r="BG149" s="274" t="s">
        <v>185</v>
      </c>
      <c r="BH149" s="274">
        <v>250</v>
      </c>
      <c r="BI149" s="109"/>
    </row>
    <row r="150" spans="1:61" ht="15" customHeight="1">
      <c r="A150" s="135">
        <v>2007</v>
      </c>
      <c r="B150" s="274" t="s">
        <v>309</v>
      </c>
      <c r="C150" s="274" t="s">
        <v>258</v>
      </c>
      <c r="D150" s="137">
        <v>160</v>
      </c>
      <c r="E150" s="272">
        <v>1</v>
      </c>
      <c r="F150" s="135">
        <v>471</v>
      </c>
      <c r="G150" s="274"/>
      <c r="H150" s="274" t="s">
        <v>187</v>
      </c>
      <c r="I150" s="115">
        <f t="shared" si="37"/>
        <v>160</v>
      </c>
      <c r="J150" s="137">
        <v>160</v>
      </c>
      <c r="K150" s="274" t="s">
        <v>185</v>
      </c>
      <c r="L150" s="139">
        <v>1.854</v>
      </c>
      <c r="M150" s="139">
        <f t="shared" si="38"/>
        <v>1.854</v>
      </c>
      <c r="N150" s="137">
        <v>374.74</v>
      </c>
      <c r="O150" s="140">
        <v>10.07</v>
      </c>
      <c r="P150" s="140">
        <f>Q150</f>
        <v>9.66</v>
      </c>
      <c r="Q150" s="140">
        <f>R150+U150+V150</f>
        <v>9.66</v>
      </c>
      <c r="R150" s="140">
        <f t="shared" si="41"/>
        <v>5.43</v>
      </c>
      <c r="S150" s="140">
        <v>5.43</v>
      </c>
      <c r="T150" s="274" t="s">
        <v>185</v>
      </c>
      <c r="U150" s="140">
        <v>1.73</v>
      </c>
      <c r="V150" s="140">
        <v>2.5</v>
      </c>
      <c r="W150" s="274" t="s">
        <v>185</v>
      </c>
      <c r="X150" s="137">
        <v>1153</v>
      </c>
      <c r="Y150" s="115">
        <v>160</v>
      </c>
      <c r="Z150" s="112">
        <v>1.62</v>
      </c>
      <c r="AA150" s="141">
        <v>279.8</v>
      </c>
      <c r="AB150" s="141">
        <v>1547</v>
      </c>
      <c r="AC150" s="112">
        <f t="shared" si="42"/>
        <v>10.27</v>
      </c>
      <c r="AD150" s="112">
        <v>7.24</v>
      </c>
      <c r="AE150" s="140">
        <v>3.03</v>
      </c>
      <c r="AF150" s="140">
        <v>10.27</v>
      </c>
      <c r="AG150" s="140">
        <v>10.27</v>
      </c>
      <c r="AH150" s="137">
        <f t="shared" si="43"/>
        <v>429104804</v>
      </c>
      <c r="AI150" s="137">
        <f t="shared" si="44"/>
        <v>341768258</v>
      </c>
      <c r="AJ150" s="137">
        <v>87336546</v>
      </c>
      <c r="AK150" s="137">
        <f t="shared" si="47"/>
        <v>179081412</v>
      </c>
      <c r="AL150" s="137">
        <f t="shared" si="48"/>
        <v>260954748</v>
      </c>
      <c r="AM150" s="137">
        <v>116016638</v>
      </c>
      <c r="AN150" s="137">
        <v>41724224</v>
      </c>
      <c r="AO150" s="137">
        <v>21340550</v>
      </c>
      <c r="AP150" s="274" t="s">
        <v>225</v>
      </c>
      <c r="AQ150" s="137">
        <v>184027396</v>
      </c>
      <c r="AR150" s="137">
        <v>76927352</v>
      </c>
      <c r="AS150" s="137">
        <v>467144470</v>
      </c>
      <c r="AT150" s="142">
        <f t="shared" si="45"/>
        <v>917356500</v>
      </c>
      <c r="AU150" s="137">
        <v>517258323</v>
      </c>
      <c r="AV150" s="137">
        <v>242874710</v>
      </c>
      <c r="AW150" s="137">
        <v>157223467</v>
      </c>
      <c r="AX150" s="137">
        <v>342901582</v>
      </c>
      <c r="AY150" s="137">
        <v>57399210</v>
      </c>
      <c r="AZ150" s="137">
        <v>20200890</v>
      </c>
      <c r="BA150" s="115">
        <f t="shared" si="46"/>
        <v>403426973</v>
      </c>
      <c r="BB150" s="137">
        <f>0.52*403426973</f>
        <v>209782025.96</v>
      </c>
      <c r="BC150" s="137">
        <f>0.41*403426973</f>
        <v>165405058.92999998</v>
      </c>
      <c r="BD150" s="137">
        <f>0.07*403426973</f>
        <v>28239888.110000003</v>
      </c>
      <c r="BE150" s="274" t="s">
        <v>185</v>
      </c>
      <c r="BF150" s="115">
        <v>168166600</v>
      </c>
      <c r="BG150" s="274" t="s">
        <v>185</v>
      </c>
      <c r="BH150" s="274">
        <v>250</v>
      </c>
      <c r="BI150" s="109"/>
    </row>
    <row r="151" spans="1:61" ht="15" customHeight="1">
      <c r="A151" s="135">
        <v>2008</v>
      </c>
      <c r="B151" s="274" t="s">
        <v>309</v>
      </c>
      <c r="C151" s="274" t="s">
        <v>258</v>
      </c>
      <c r="D151" s="137">
        <v>162</v>
      </c>
      <c r="E151" s="272">
        <v>1</v>
      </c>
      <c r="F151" s="135">
        <v>480</v>
      </c>
      <c r="G151" s="274"/>
      <c r="H151" s="274" t="s">
        <v>187</v>
      </c>
      <c r="I151" s="115">
        <f t="shared" si="37"/>
        <v>160</v>
      </c>
      <c r="J151" s="137">
        <v>160</v>
      </c>
      <c r="K151" s="274" t="s">
        <v>185</v>
      </c>
      <c r="L151" s="139">
        <v>1.88</v>
      </c>
      <c r="M151" s="139">
        <f t="shared" si="38"/>
        <v>1.88</v>
      </c>
      <c r="N151" s="137">
        <v>383.05</v>
      </c>
      <c r="O151" s="140">
        <v>10.44</v>
      </c>
      <c r="P151" s="140">
        <f>Q151</f>
        <v>10.04</v>
      </c>
      <c r="Q151" s="140">
        <f>R151+U151+V151</f>
        <v>10.04</v>
      </c>
      <c r="R151" s="140">
        <f t="shared" si="41"/>
        <v>5.48</v>
      </c>
      <c r="S151" s="140">
        <v>5.48</v>
      </c>
      <c r="T151" s="274" t="s">
        <v>185</v>
      </c>
      <c r="U151" s="140">
        <v>1.85</v>
      </c>
      <c r="V151" s="140">
        <v>2.71</v>
      </c>
      <c r="W151" s="274" t="s">
        <v>185</v>
      </c>
      <c r="X151" s="137">
        <v>1119</v>
      </c>
      <c r="Y151" s="115">
        <v>162</v>
      </c>
      <c r="Z151" s="112">
        <v>1.67</v>
      </c>
      <c r="AA151" s="141">
        <v>290.13</v>
      </c>
      <c r="AB151" s="141">
        <v>1550</v>
      </c>
      <c r="AC151" s="112">
        <v>10.34</v>
      </c>
      <c r="AD151" s="112">
        <v>6.85</v>
      </c>
      <c r="AE151" s="140">
        <v>3.13</v>
      </c>
      <c r="AF151" s="140">
        <v>10.34</v>
      </c>
      <c r="AG151" s="140">
        <v>10.34</v>
      </c>
      <c r="AH151" s="137">
        <f t="shared" si="43"/>
        <v>444758370</v>
      </c>
      <c r="AI151" s="137">
        <f t="shared" si="44"/>
        <v>343131250</v>
      </c>
      <c r="AJ151" s="137">
        <v>101627120</v>
      </c>
      <c r="AK151" s="137">
        <f>AM151+AN151+AO151</f>
        <v>191019064</v>
      </c>
      <c r="AL151" s="137">
        <f>AQ151+AR151</f>
        <v>253739305</v>
      </c>
      <c r="AM151" s="137">
        <v>120366760</v>
      </c>
      <c r="AN151" s="137">
        <v>48499788</v>
      </c>
      <c r="AO151" s="137">
        <v>22152516</v>
      </c>
      <c r="AP151" s="274" t="s">
        <v>225</v>
      </c>
      <c r="AQ151" s="137">
        <v>174264702</v>
      </c>
      <c r="AR151" s="137">
        <v>79474603</v>
      </c>
      <c r="AS151" s="137">
        <v>465983999</v>
      </c>
      <c r="AT151" s="142">
        <f>AU151+AV151+AW151</f>
        <v>1111452954</v>
      </c>
      <c r="AU151" s="137">
        <v>598155907</v>
      </c>
      <c r="AV151" s="137">
        <v>384762060</v>
      </c>
      <c r="AW151" s="137">
        <v>128534987</v>
      </c>
      <c r="AX151" s="137">
        <f>261191919+74057663</f>
        <v>335249582</v>
      </c>
      <c r="AY151" s="137">
        <v>74386190</v>
      </c>
      <c r="AZ151" s="137">
        <v>21251436</v>
      </c>
      <c r="BA151" s="115">
        <f t="shared" si="46"/>
        <v>1461696071</v>
      </c>
      <c r="BB151" s="137">
        <v>760081957</v>
      </c>
      <c r="BC151" s="137">
        <v>599295389</v>
      </c>
      <c r="BD151" s="137">
        <v>102318725</v>
      </c>
      <c r="BE151" s="274" t="s">
        <v>185</v>
      </c>
      <c r="BF151" s="115">
        <v>170182700</v>
      </c>
      <c r="BG151" s="274" t="s">
        <v>185</v>
      </c>
      <c r="BH151" s="274">
        <v>250</v>
      </c>
      <c r="BI151" s="109"/>
    </row>
    <row r="152" spans="1:61" ht="15" customHeight="1">
      <c r="A152" s="143">
        <v>2009</v>
      </c>
      <c r="B152" s="274" t="s">
        <v>309</v>
      </c>
      <c r="C152" s="274" t="s">
        <v>258</v>
      </c>
      <c r="D152" s="144">
        <v>162</v>
      </c>
      <c r="E152" s="272">
        <v>1</v>
      </c>
      <c r="F152" s="143">
        <v>492</v>
      </c>
      <c r="G152" s="274"/>
      <c r="H152" s="274" t="s">
        <v>187</v>
      </c>
      <c r="I152" s="120">
        <f>J152</f>
        <v>160</v>
      </c>
      <c r="J152" s="144">
        <v>160</v>
      </c>
      <c r="K152" s="274" t="s">
        <v>185</v>
      </c>
      <c r="L152" s="145">
        <v>2.8</v>
      </c>
      <c r="M152" s="145">
        <f>L152</f>
        <v>2.8</v>
      </c>
      <c r="N152" s="144">
        <v>383.05</v>
      </c>
      <c r="O152" s="146">
        <v>10.01</v>
      </c>
      <c r="P152" s="146">
        <f>Q152</f>
        <v>8.079788</v>
      </c>
      <c r="Q152" s="146">
        <f>R152+U152+V152</f>
        <v>8.079788</v>
      </c>
      <c r="R152" s="146">
        <f>S152</f>
        <v>5.34</v>
      </c>
      <c r="S152" s="146">
        <v>5.34</v>
      </c>
      <c r="T152" s="274" t="s">
        <v>185</v>
      </c>
      <c r="U152" s="146">
        <f>1.427203+0.314036</f>
        <v>1.741239</v>
      </c>
      <c r="V152" s="146">
        <f>0.549611+0.448938</f>
        <v>0.9985489999999999</v>
      </c>
      <c r="W152" s="274" t="s">
        <v>185</v>
      </c>
      <c r="X152" s="144">
        <v>1153</v>
      </c>
      <c r="Y152" s="120">
        <v>162</v>
      </c>
      <c r="Z152" s="121">
        <v>1.72</v>
      </c>
      <c r="AA152" s="141">
        <v>290.2</v>
      </c>
      <c r="AB152" s="141">
        <v>1547</v>
      </c>
      <c r="AC152" s="121">
        <f t="shared" si="42"/>
        <v>9.64</v>
      </c>
      <c r="AD152" s="121">
        <v>6.39</v>
      </c>
      <c r="AE152" s="146">
        <v>3.25</v>
      </c>
      <c r="AF152" s="146">
        <v>9.64</v>
      </c>
      <c r="AG152" s="146">
        <v>9.64</v>
      </c>
      <c r="AH152" s="144">
        <f>AI152+AJ152</f>
        <v>436347867.99</v>
      </c>
      <c r="AI152" s="144">
        <f>AM152+AQ152</f>
        <v>281911145.23</v>
      </c>
      <c r="AJ152" s="144">
        <f>AR152+AO152+AN152</f>
        <v>154436722.76</v>
      </c>
      <c r="AK152" s="144">
        <f>131059499.05+60182390.83</f>
        <v>191241889.88</v>
      </c>
      <c r="AL152" s="144">
        <v>245105978.04</v>
      </c>
      <c r="AM152" s="144">
        <f>71656238.35+47829841.77</f>
        <v>119486080.12</v>
      </c>
      <c r="AN152" s="144">
        <f>42887450.15+5084242.84</f>
        <v>47971692.989999995</v>
      </c>
      <c r="AO152" s="144">
        <v>23784116.77</v>
      </c>
      <c r="AP152" s="274" t="s">
        <v>225</v>
      </c>
      <c r="AQ152" s="144">
        <v>162425065.11</v>
      </c>
      <c r="AR152" s="144">
        <v>82680913</v>
      </c>
      <c r="AS152" s="144">
        <v>467144470</v>
      </c>
      <c r="AT152" s="147">
        <f>AU152+AV152+AW152</f>
        <v>917356500</v>
      </c>
      <c r="AU152" s="144">
        <v>517258323</v>
      </c>
      <c r="AV152" s="144">
        <v>242874710</v>
      </c>
      <c r="AW152" s="144">
        <v>157223467</v>
      </c>
      <c r="AX152" s="144">
        <v>342901582</v>
      </c>
      <c r="AY152" s="144">
        <v>57399210</v>
      </c>
      <c r="AZ152" s="144">
        <v>20200890</v>
      </c>
      <c r="BA152" s="120">
        <f>BB152+BC152+BD152</f>
        <v>403426973</v>
      </c>
      <c r="BB152" s="144">
        <f>0.52*403426973</f>
        <v>209782025.96</v>
      </c>
      <c r="BC152" s="144">
        <f>0.41*403426973</f>
        <v>165405058.92999998</v>
      </c>
      <c r="BD152" s="144">
        <f>0.07*403426973</f>
        <v>28239888.110000003</v>
      </c>
      <c r="BE152" s="274" t="s">
        <v>185</v>
      </c>
      <c r="BF152" s="120">
        <v>168166600</v>
      </c>
      <c r="BG152" s="274" t="s">
        <v>185</v>
      </c>
      <c r="BH152" s="274">
        <v>250</v>
      </c>
      <c r="BI152" s="132">
        <v>10.3</v>
      </c>
    </row>
    <row r="153" spans="1:61" ht="15" customHeight="1">
      <c r="A153" s="135">
        <v>2010</v>
      </c>
      <c r="B153" s="275" t="s">
        <v>309</v>
      </c>
      <c r="C153" s="275" t="s">
        <v>258</v>
      </c>
      <c r="D153" s="137">
        <v>162</v>
      </c>
      <c r="E153" s="273">
        <v>1</v>
      </c>
      <c r="F153" s="135">
        <v>518</v>
      </c>
      <c r="G153" s="275"/>
      <c r="H153" s="275" t="s">
        <v>187</v>
      </c>
      <c r="I153" s="115">
        <f>J153</f>
        <v>160</v>
      </c>
      <c r="J153" s="137">
        <v>160</v>
      </c>
      <c r="K153" s="275" t="s">
        <v>185</v>
      </c>
      <c r="L153" s="139">
        <v>3.16</v>
      </c>
      <c r="M153" s="139">
        <f>L153</f>
        <v>3.16</v>
      </c>
      <c r="N153" s="137">
        <v>395.1</v>
      </c>
      <c r="O153" s="140">
        <v>10.45</v>
      </c>
      <c r="P153" s="140">
        <f>Q153</f>
        <v>8.633022</v>
      </c>
      <c r="Q153" s="140">
        <f>R153+U153+V153</f>
        <v>8.633022</v>
      </c>
      <c r="R153" s="140">
        <f>S153</f>
        <v>5.61</v>
      </c>
      <c r="S153" s="140">
        <v>5.61</v>
      </c>
      <c r="T153" s="275" t="s">
        <v>185</v>
      </c>
      <c r="U153" s="140">
        <f>1.633418+0.258461</f>
        <v>1.891879</v>
      </c>
      <c r="V153" s="140">
        <f>0.62706+0.504083</f>
        <v>1.1311429999999998</v>
      </c>
      <c r="W153" s="275" t="s">
        <v>185</v>
      </c>
      <c r="X153" s="137">
        <v>1119</v>
      </c>
      <c r="Y153" s="115">
        <v>162</v>
      </c>
      <c r="Z153" s="112">
        <v>1.77</v>
      </c>
      <c r="AA153" s="138">
        <v>292.74</v>
      </c>
      <c r="AB153" s="138">
        <v>1550</v>
      </c>
      <c r="AC153" s="112">
        <f t="shared" si="42"/>
        <v>10.27</v>
      </c>
      <c r="AD153" s="112">
        <v>6.71</v>
      </c>
      <c r="AE153" s="140">
        <v>3.56</v>
      </c>
      <c r="AF153" s="140">
        <v>10.27</v>
      </c>
      <c r="AG153" s="140">
        <v>10.27</v>
      </c>
      <c r="AH153" s="137">
        <f>AI153+AJ153</f>
        <v>470654113.75</v>
      </c>
      <c r="AI153" s="137">
        <f>AM153+AQ153</f>
        <v>300170308.19</v>
      </c>
      <c r="AJ153" s="137">
        <f>AR153+AO153+AN153</f>
        <v>170483805.56</v>
      </c>
      <c r="AK153" s="137">
        <v>209629101.29</v>
      </c>
      <c r="AL153" s="137">
        <v>261025012.71</v>
      </c>
      <c r="AM153" s="137">
        <v>129547087.73</v>
      </c>
      <c r="AN153" s="137">
        <v>53268694.49</v>
      </c>
      <c r="AO153" s="137">
        <v>26813319.07</v>
      </c>
      <c r="AP153" s="275" t="s">
        <v>225</v>
      </c>
      <c r="AQ153" s="137">
        <v>170623220.46</v>
      </c>
      <c r="AR153" s="137">
        <v>90401792</v>
      </c>
      <c r="AS153" s="137">
        <v>465983999</v>
      </c>
      <c r="AT153" s="142">
        <f>AU153+AV153+AW153</f>
        <v>1111452954</v>
      </c>
      <c r="AU153" s="137">
        <v>598155907</v>
      </c>
      <c r="AV153" s="137">
        <v>384762060</v>
      </c>
      <c r="AW153" s="137">
        <v>128534987</v>
      </c>
      <c r="AX153" s="137">
        <f>261191919+74057663</f>
        <v>335249582</v>
      </c>
      <c r="AY153" s="137">
        <v>74386190</v>
      </c>
      <c r="AZ153" s="137">
        <v>21251436</v>
      </c>
      <c r="BA153" s="115">
        <f>BB153+BC153+BD153</f>
        <v>1461696071</v>
      </c>
      <c r="BB153" s="137">
        <v>760081957</v>
      </c>
      <c r="BC153" s="137">
        <v>599295389</v>
      </c>
      <c r="BD153" s="137">
        <v>102318725</v>
      </c>
      <c r="BE153" s="275" t="s">
        <v>185</v>
      </c>
      <c r="BF153" s="115">
        <v>170182700</v>
      </c>
      <c r="BG153" s="275" t="s">
        <v>185</v>
      </c>
      <c r="BH153" s="275">
        <v>250</v>
      </c>
      <c r="BI153" s="109">
        <v>8.3</v>
      </c>
    </row>
    <row r="154" spans="1:60" s="74" customFormat="1" ht="6" customHeight="1" thickBot="1">
      <c r="A154" s="76"/>
      <c r="B154" s="81"/>
      <c r="C154" s="81"/>
      <c r="D154" s="75"/>
      <c r="E154" s="78"/>
      <c r="H154" s="82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4"/>
      <c r="U154" s="83"/>
      <c r="V154" s="83"/>
      <c r="W154" s="83"/>
      <c r="X154" s="78"/>
      <c r="Y154" s="83"/>
      <c r="Z154" s="83"/>
      <c r="AA154" s="83"/>
      <c r="AB154" s="78"/>
      <c r="AC154" s="83"/>
      <c r="AD154" s="83"/>
      <c r="AE154" s="83"/>
      <c r="AF154" s="83"/>
      <c r="AG154" s="83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85"/>
    </row>
    <row r="155" spans="1:61" ht="15" customHeight="1">
      <c r="A155" s="124">
        <v>2004</v>
      </c>
      <c r="B155" s="292" t="s">
        <v>259</v>
      </c>
      <c r="C155" s="292" t="s">
        <v>260</v>
      </c>
      <c r="D155" s="137">
        <v>161</v>
      </c>
      <c r="E155" s="299" t="s">
        <v>261</v>
      </c>
      <c r="F155" s="124">
        <v>505</v>
      </c>
      <c r="G155" s="254" t="s">
        <v>185</v>
      </c>
      <c r="H155" s="254" t="s">
        <v>187</v>
      </c>
      <c r="I155" s="126">
        <v>158.7</v>
      </c>
      <c r="J155" s="127">
        <v>134.3</v>
      </c>
      <c r="K155" s="150">
        <v>24.4</v>
      </c>
      <c r="L155" s="150">
        <v>66.3</v>
      </c>
      <c r="M155" s="150">
        <v>14.1</v>
      </c>
      <c r="N155" s="127">
        <v>311.76</v>
      </c>
      <c r="O155" s="128">
        <v>31.05</v>
      </c>
      <c r="P155" s="140">
        <v>1.11</v>
      </c>
      <c r="Q155" s="140">
        <v>20.48</v>
      </c>
      <c r="R155" s="140">
        <f>S155+T155</f>
        <v>7.239999999999999</v>
      </c>
      <c r="S155" s="140">
        <v>7.02</v>
      </c>
      <c r="T155" s="140">
        <v>0.22</v>
      </c>
      <c r="U155" s="140">
        <v>10.43</v>
      </c>
      <c r="V155" s="140">
        <v>1.93</v>
      </c>
      <c r="W155" s="260" t="s">
        <v>185</v>
      </c>
      <c r="X155" s="127">
        <v>98</v>
      </c>
      <c r="Y155" s="126">
        <v>96.5</v>
      </c>
      <c r="Z155" s="110">
        <v>5.06</v>
      </c>
      <c r="AA155" s="117">
        <v>213.37</v>
      </c>
      <c r="AB155" s="117">
        <v>5480</v>
      </c>
      <c r="AC155" s="112">
        <v>12.74</v>
      </c>
      <c r="AD155" s="112">
        <v>7.19</v>
      </c>
      <c r="AE155" s="112">
        <v>5.55</v>
      </c>
      <c r="AF155" s="129">
        <v>12.74</v>
      </c>
      <c r="AG155" s="129">
        <v>9.83</v>
      </c>
      <c r="AH155" s="127">
        <f>AI155+AJ155</f>
        <v>290031900</v>
      </c>
      <c r="AI155" s="127">
        <v>121008600</v>
      </c>
      <c r="AJ155" s="127">
        <v>169023300</v>
      </c>
      <c r="AK155" s="127">
        <v>188116000</v>
      </c>
      <c r="AL155" s="127">
        <v>101915900</v>
      </c>
      <c r="AM155" s="127">
        <v>70153700</v>
      </c>
      <c r="AN155" s="127">
        <v>100711500</v>
      </c>
      <c r="AO155" s="127">
        <v>17250800</v>
      </c>
      <c r="AP155" s="251">
        <v>0</v>
      </c>
      <c r="AQ155" s="127">
        <v>50854900</v>
      </c>
      <c r="AR155" s="127">
        <v>51061000</v>
      </c>
      <c r="AS155" s="137">
        <v>321423700</v>
      </c>
      <c r="AT155" s="131">
        <f>AU155+AV155+AW155</f>
        <v>347949600</v>
      </c>
      <c r="AU155" s="127">
        <v>148536900</v>
      </c>
      <c r="AV155" s="127">
        <v>116036700</v>
      </c>
      <c r="AW155" s="137">
        <v>83376000</v>
      </c>
      <c r="AX155" s="127">
        <v>95380800</v>
      </c>
      <c r="AY155" s="127">
        <v>105254000</v>
      </c>
      <c r="AZ155" s="251" t="s">
        <v>185</v>
      </c>
      <c r="BA155" s="115">
        <v>274694581</v>
      </c>
      <c r="BB155" s="115">
        <v>148335074</v>
      </c>
      <c r="BC155" s="115">
        <v>94494936</v>
      </c>
      <c r="BD155" s="115">
        <v>31864571</v>
      </c>
      <c r="BE155" s="251" t="s">
        <v>185</v>
      </c>
      <c r="BF155" s="126">
        <v>129247700</v>
      </c>
      <c r="BG155" s="200" t="s">
        <v>185</v>
      </c>
      <c r="BH155" s="293">
        <v>242.5</v>
      </c>
      <c r="BI155" s="139"/>
    </row>
    <row r="156" spans="1:61" ht="15" customHeight="1">
      <c r="A156" s="124">
        <v>2005</v>
      </c>
      <c r="B156" s="274" t="s">
        <v>259</v>
      </c>
      <c r="C156" s="274" t="s">
        <v>260</v>
      </c>
      <c r="D156" s="137">
        <v>158.9</v>
      </c>
      <c r="E156" s="300"/>
      <c r="F156" s="124">
        <v>503</v>
      </c>
      <c r="G156" s="255" t="s">
        <v>185</v>
      </c>
      <c r="H156" s="255" t="s">
        <v>187</v>
      </c>
      <c r="I156" s="126">
        <v>154.9</v>
      </c>
      <c r="J156" s="127">
        <v>130.5</v>
      </c>
      <c r="K156" s="150">
        <v>24.4</v>
      </c>
      <c r="L156" s="150">
        <v>67.1</v>
      </c>
      <c r="M156" s="150">
        <v>14.9</v>
      </c>
      <c r="N156" s="127">
        <v>311.76</v>
      </c>
      <c r="O156" s="128">
        <v>29.98</v>
      </c>
      <c r="P156" s="140">
        <v>1.1</v>
      </c>
      <c r="Q156" s="140">
        <v>19.51</v>
      </c>
      <c r="R156" s="140">
        <f>S156+T156</f>
        <v>6.779999999999999</v>
      </c>
      <c r="S156" s="140">
        <v>6.56</v>
      </c>
      <c r="T156" s="140">
        <v>0.22</v>
      </c>
      <c r="U156" s="140">
        <v>9.68</v>
      </c>
      <c r="V156" s="140">
        <v>1.98</v>
      </c>
      <c r="W156" s="261"/>
      <c r="X156" s="127">
        <v>156</v>
      </c>
      <c r="Y156" s="126">
        <v>96</v>
      </c>
      <c r="Z156" s="110">
        <v>5.14</v>
      </c>
      <c r="AA156" s="117">
        <v>213.37</v>
      </c>
      <c r="AB156" s="117">
        <v>7617</v>
      </c>
      <c r="AC156" s="112">
        <v>13.17</v>
      </c>
      <c r="AD156" s="112">
        <v>6.57</v>
      </c>
      <c r="AE156" s="112">
        <v>6.6</v>
      </c>
      <c r="AF156" s="129">
        <v>13</v>
      </c>
      <c r="AG156" s="129">
        <v>9.75</v>
      </c>
      <c r="AH156" s="127">
        <f>AI156+AJ156</f>
        <v>293092700</v>
      </c>
      <c r="AI156" s="127">
        <v>126006700</v>
      </c>
      <c r="AJ156" s="127">
        <v>167086000</v>
      </c>
      <c r="AK156" s="127">
        <v>184346900</v>
      </c>
      <c r="AL156" s="127">
        <v>108745800</v>
      </c>
      <c r="AM156" s="127">
        <v>73674500</v>
      </c>
      <c r="AN156" s="127">
        <v>92065900</v>
      </c>
      <c r="AO156" s="127">
        <v>18606500</v>
      </c>
      <c r="AP156" s="252"/>
      <c r="AQ156" s="127">
        <v>52332200</v>
      </c>
      <c r="AR156" s="127">
        <v>56413600</v>
      </c>
      <c r="AS156" s="137">
        <v>318652600</v>
      </c>
      <c r="AT156" s="131">
        <f>AU156+AV156+AW156</f>
        <v>325595100</v>
      </c>
      <c r="AU156" s="127">
        <v>145249300</v>
      </c>
      <c r="AV156" s="127">
        <v>106572600</v>
      </c>
      <c r="AW156" s="137">
        <v>73773200</v>
      </c>
      <c r="AX156" s="127">
        <v>104025700</v>
      </c>
      <c r="AY156" s="127">
        <v>96131000</v>
      </c>
      <c r="AZ156" s="252" t="s">
        <v>185</v>
      </c>
      <c r="BA156" s="115">
        <v>267425462</v>
      </c>
      <c r="BB156" s="115">
        <v>144409749</v>
      </c>
      <c r="BC156" s="115">
        <v>91994359</v>
      </c>
      <c r="BD156" s="115">
        <v>31021354</v>
      </c>
      <c r="BE156" s="252" t="s">
        <v>185</v>
      </c>
      <c r="BF156" s="126">
        <v>88985600</v>
      </c>
      <c r="BG156" s="233" t="s">
        <v>184</v>
      </c>
      <c r="BH156" s="294"/>
      <c r="BI156" s="139"/>
    </row>
    <row r="157" spans="1:61" ht="15" customHeight="1">
      <c r="A157" s="124">
        <v>2006</v>
      </c>
      <c r="B157" s="274" t="s">
        <v>259</v>
      </c>
      <c r="C157" s="274" t="s">
        <v>260</v>
      </c>
      <c r="D157" s="137">
        <v>159.9</v>
      </c>
      <c r="E157" s="300"/>
      <c r="F157" s="124">
        <v>507</v>
      </c>
      <c r="G157" s="255" t="s">
        <v>185</v>
      </c>
      <c r="H157" s="255" t="s">
        <v>187</v>
      </c>
      <c r="I157" s="126">
        <v>156.2</v>
      </c>
      <c r="J157" s="127">
        <v>132.1</v>
      </c>
      <c r="K157" s="150">
        <v>24.1</v>
      </c>
      <c r="L157" s="150">
        <v>67.6</v>
      </c>
      <c r="M157" s="150">
        <v>19.1</v>
      </c>
      <c r="N157" s="127">
        <v>317.19</v>
      </c>
      <c r="O157" s="128">
        <v>30.28</v>
      </c>
      <c r="P157" s="140">
        <v>1.21</v>
      </c>
      <c r="Q157" s="140">
        <v>18.7</v>
      </c>
      <c r="R157" s="140">
        <f>S157+T157</f>
        <v>6.2</v>
      </c>
      <c r="S157" s="140">
        <v>5.98</v>
      </c>
      <c r="T157" s="140">
        <v>0.22</v>
      </c>
      <c r="U157" s="140">
        <v>9.23</v>
      </c>
      <c r="V157" s="140">
        <v>1.88</v>
      </c>
      <c r="W157" s="261"/>
      <c r="X157" s="127">
        <v>164</v>
      </c>
      <c r="Y157" s="126">
        <v>101.9</v>
      </c>
      <c r="Z157" s="110">
        <v>5.18</v>
      </c>
      <c r="AA157" s="117">
        <v>220.75</v>
      </c>
      <c r="AB157" s="117">
        <v>9718</v>
      </c>
      <c r="AC157" s="112">
        <v>13.74</v>
      </c>
      <c r="AD157" s="112">
        <v>6.25</v>
      </c>
      <c r="AE157" s="112">
        <v>7.49</v>
      </c>
      <c r="AF157" s="129">
        <v>13.74</v>
      </c>
      <c r="AG157" s="129">
        <v>10.47</v>
      </c>
      <c r="AH157" s="127">
        <f>AI157+AJ157</f>
        <v>319264400</v>
      </c>
      <c r="AI157" s="127">
        <v>161154500</v>
      </c>
      <c r="AJ157" s="127">
        <v>158109900</v>
      </c>
      <c r="AK157" s="127">
        <v>214885000</v>
      </c>
      <c r="AL157" s="127">
        <v>147803200</v>
      </c>
      <c r="AM157" s="127">
        <v>92180200</v>
      </c>
      <c r="AN157" s="127">
        <v>100413900</v>
      </c>
      <c r="AO157" s="127">
        <v>22290900</v>
      </c>
      <c r="AP157" s="252"/>
      <c r="AQ157" s="127">
        <v>68974300</v>
      </c>
      <c r="AR157" s="127">
        <v>78828900</v>
      </c>
      <c r="AS157" s="137">
        <v>379148000</v>
      </c>
      <c r="AT157" s="131">
        <f>AU157+AV157+AW157</f>
        <v>375122300</v>
      </c>
      <c r="AU157" s="127">
        <v>153731500</v>
      </c>
      <c r="AV157" s="127">
        <v>129934000</v>
      </c>
      <c r="AW157" s="137">
        <v>91456800</v>
      </c>
      <c r="AX157" s="127">
        <v>121690900</v>
      </c>
      <c r="AY157" s="127">
        <v>99502400</v>
      </c>
      <c r="AZ157" s="252" t="s">
        <v>185</v>
      </c>
      <c r="BA157" s="115">
        <v>354484239</v>
      </c>
      <c r="BB157" s="115">
        <v>191421489</v>
      </c>
      <c r="BC157" s="115">
        <v>121942578</v>
      </c>
      <c r="BD157" s="115">
        <v>41120172</v>
      </c>
      <c r="BE157" s="252" t="s">
        <v>185</v>
      </c>
      <c r="BF157" s="126">
        <v>160507000</v>
      </c>
      <c r="BG157" s="234"/>
      <c r="BH157" s="294"/>
      <c r="BI157" s="139"/>
    </row>
    <row r="158" spans="1:61" ht="15" customHeight="1">
      <c r="A158" s="124">
        <v>2007</v>
      </c>
      <c r="B158" s="274" t="s">
        <v>259</v>
      </c>
      <c r="C158" s="274" t="s">
        <v>260</v>
      </c>
      <c r="D158" s="137">
        <v>159</v>
      </c>
      <c r="E158" s="301"/>
      <c r="F158" s="124">
        <v>497</v>
      </c>
      <c r="G158" s="255" t="s">
        <v>185</v>
      </c>
      <c r="H158" s="255" t="s">
        <v>187</v>
      </c>
      <c r="I158" s="126">
        <v>154.8</v>
      </c>
      <c r="J158" s="127">
        <v>131.2</v>
      </c>
      <c r="K158" s="150">
        <v>23.6</v>
      </c>
      <c r="L158" s="150">
        <v>68</v>
      </c>
      <c r="M158" s="150">
        <v>20.7</v>
      </c>
      <c r="N158" s="127">
        <v>332.37</v>
      </c>
      <c r="O158" s="128">
        <v>30.1</v>
      </c>
      <c r="P158" s="140">
        <v>1.24</v>
      </c>
      <c r="Q158" s="140">
        <v>18.84</v>
      </c>
      <c r="R158" s="140">
        <f>S158+T158</f>
        <v>6.14</v>
      </c>
      <c r="S158" s="140">
        <v>5.92</v>
      </c>
      <c r="T158" s="140">
        <v>0.22</v>
      </c>
      <c r="U158" s="140">
        <v>9.45</v>
      </c>
      <c r="V158" s="140">
        <v>2.1</v>
      </c>
      <c r="W158" s="261"/>
      <c r="X158" s="127">
        <v>198</v>
      </c>
      <c r="Y158" s="126">
        <v>100.4</v>
      </c>
      <c r="Z158" s="110">
        <v>5.2</v>
      </c>
      <c r="AA158" s="117">
        <v>220.75</v>
      </c>
      <c r="AB158" s="117">
        <v>8551</v>
      </c>
      <c r="AC158" s="112">
        <v>12.67</v>
      </c>
      <c r="AD158" s="112">
        <v>6.33</v>
      </c>
      <c r="AE158" s="112">
        <v>6.34</v>
      </c>
      <c r="AF158" s="129">
        <v>12.67</v>
      </c>
      <c r="AG158" s="129">
        <v>10.58</v>
      </c>
      <c r="AH158" s="127">
        <f>AI158+AJ158</f>
        <v>407689900</v>
      </c>
      <c r="AI158" s="127">
        <v>175751300</v>
      </c>
      <c r="AJ158" s="127">
        <v>231938600</v>
      </c>
      <c r="AK158" s="127">
        <v>248131100</v>
      </c>
      <c r="AL158" s="127">
        <v>159558800</v>
      </c>
      <c r="AM158" s="127">
        <v>96082800</v>
      </c>
      <c r="AN158" s="127">
        <v>124375200</v>
      </c>
      <c r="AO158" s="127">
        <v>27673100</v>
      </c>
      <c r="AP158" s="252"/>
      <c r="AQ158" s="127">
        <v>79668500</v>
      </c>
      <c r="AR158" s="127">
        <v>79890300</v>
      </c>
      <c r="AS158" s="137">
        <v>443104800</v>
      </c>
      <c r="AT158" s="131">
        <f>AU158+AV158+AW158</f>
        <v>469769900</v>
      </c>
      <c r="AU158" s="127">
        <v>192970300</v>
      </c>
      <c r="AV158" s="127">
        <v>146854600</v>
      </c>
      <c r="AW158" s="137">
        <v>129945000</v>
      </c>
      <c r="AX158" s="127">
        <v>133259100</v>
      </c>
      <c r="AY158" s="127">
        <v>132634700</v>
      </c>
      <c r="AZ158" s="252" t="s">
        <v>185</v>
      </c>
      <c r="BA158" s="115">
        <v>396960499</v>
      </c>
      <c r="BB158" s="115">
        <v>214358669</v>
      </c>
      <c r="BC158" s="115">
        <v>136554412</v>
      </c>
      <c r="BD158" s="115">
        <v>46047418</v>
      </c>
      <c r="BE158" s="252" t="s">
        <v>185</v>
      </c>
      <c r="BF158" s="126">
        <v>164180000</v>
      </c>
      <c r="BG158" s="234"/>
      <c r="BH158" s="294"/>
      <c r="BI158" s="139"/>
    </row>
    <row r="159" spans="1:61" ht="24" customHeight="1">
      <c r="A159" s="124">
        <v>2008</v>
      </c>
      <c r="B159" s="274" t="s">
        <v>259</v>
      </c>
      <c r="C159" s="274" t="s">
        <v>260</v>
      </c>
      <c r="D159" s="137">
        <v>161.73</v>
      </c>
      <c r="E159" s="299" t="s">
        <v>262</v>
      </c>
      <c r="F159" s="124">
        <v>519</v>
      </c>
      <c r="G159" s="255" t="s">
        <v>185</v>
      </c>
      <c r="H159" s="255" t="s">
        <v>187</v>
      </c>
      <c r="I159" s="126">
        <v>162.6</v>
      </c>
      <c r="J159" s="127">
        <v>131.2</v>
      </c>
      <c r="K159" s="150">
        <v>20.6</v>
      </c>
      <c r="L159" s="150">
        <v>68.8</v>
      </c>
      <c r="M159" s="150">
        <v>25</v>
      </c>
      <c r="N159" s="127">
        <v>332.37</v>
      </c>
      <c r="O159" s="128">
        <v>31.5</v>
      </c>
      <c r="P159" s="140">
        <v>1.36</v>
      </c>
      <c r="Q159" s="140">
        <v>19.59</v>
      </c>
      <c r="R159" s="140">
        <v>7.59</v>
      </c>
      <c r="S159" s="140">
        <v>6.019</v>
      </c>
      <c r="T159" s="140">
        <v>0.1176</v>
      </c>
      <c r="U159" s="140">
        <v>9.882</v>
      </c>
      <c r="V159" s="140">
        <v>2.1198</v>
      </c>
      <c r="W159" s="261"/>
      <c r="X159" s="127">
        <v>199</v>
      </c>
      <c r="Y159" s="126">
        <v>139.9</v>
      </c>
      <c r="Z159" s="110">
        <v>5.3</v>
      </c>
      <c r="AA159" s="117">
        <v>222</v>
      </c>
      <c r="AB159" s="117">
        <v>8955</v>
      </c>
      <c r="AC159" s="112">
        <v>18.7255</v>
      </c>
      <c r="AD159" s="112">
        <v>6.41</v>
      </c>
      <c r="AE159" s="112">
        <v>6.99</v>
      </c>
      <c r="AF159" s="129">
        <v>17.074</v>
      </c>
      <c r="AG159" s="129">
        <v>17.07</v>
      </c>
      <c r="AH159" s="127">
        <v>431741000</v>
      </c>
      <c r="AI159" s="127">
        <v>182683900</v>
      </c>
      <c r="AJ159" s="127">
        <v>249057100</v>
      </c>
      <c r="AK159" s="127">
        <v>261342500</v>
      </c>
      <c r="AL159" s="127">
        <v>170398500</v>
      </c>
      <c r="AM159" s="127">
        <v>101245400</v>
      </c>
      <c r="AN159" s="127">
        <v>131755500</v>
      </c>
      <c r="AO159" s="127">
        <v>28341600</v>
      </c>
      <c r="AP159" s="252"/>
      <c r="AQ159" s="127">
        <v>81438500</v>
      </c>
      <c r="AR159" s="127">
        <v>88960000</v>
      </c>
      <c r="AS159" s="137">
        <v>461857500</v>
      </c>
      <c r="AT159" s="131">
        <v>491561500</v>
      </c>
      <c r="AU159" s="127">
        <v>249293700</v>
      </c>
      <c r="AV159" s="127">
        <v>155472500</v>
      </c>
      <c r="AW159" s="137">
        <v>86795300</v>
      </c>
      <c r="AX159" s="127">
        <v>158305200</v>
      </c>
      <c r="AY159" s="127">
        <v>132022400</v>
      </c>
      <c r="AZ159" s="252" t="s">
        <v>185</v>
      </c>
      <c r="BA159" s="115">
        <v>541523391</v>
      </c>
      <c r="BB159" s="115">
        <v>284414764</v>
      </c>
      <c r="BC159" s="115">
        <v>115577158</v>
      </c>
      <c r="BD159" s="115">
        <v>141531469</v>
      </c>
      <c r="BE159" s="252" t="s">
        <v>185</v>
      </c>
      <c r="BF159" s="126">
        <v>229623573</v>
      </c>
      <c r="BG159" s="234"/>
      <c r="BH159" s="295"/>
      <c r="BI159" s="139"/>
    </row>
    <row r="160" spans="1:61" ht="24" customHeight="1">
      <c r="A160" s="124">
        <v>2009</v>
      </c>
      <c r="B160" s="274" t="s">
        <v>259</v>
      </c>
      <c r="C160" s="274" t="s">
        <v>260</v>
      </c>
      <c r="D160" s="137">
        <v>167.1</v>
      </c>
      <c r="E160" s="300"/>
      <c r="F160" s="124">
        <v>530</v>
      </c>
      <c r="G160" s="255" t="s">
        <v>185</v>
      </c>
      <c r="H160" s="255" t="s">
        <v>187</v>
      </c>
      <c r="I160" s="126">
        <v>167.1</v>
      </c>
      <c r="J160" s="127">
        <v>145.1</v>
      </c>
      <c r="K160" s="150">
        <v>22</v>
      </c>
      <c r="L160" s="150">
        <v>72.2</v>
      </c>
      <c r="M160" s="150">
        <v>27.5</v>
      </c>
      <c r="N160" s="127">
        <v>359.3</v>
      </c>
      <c r="O160" s="128">
        <v>30.2</v>
      </c>
      <c r="P160" s="140">
        <v>1.957</v>
      </c>
      <c r="Q160" s="140">
        <v>19.42</v>
      </c>
      <c r="R160" s="140">
        <v>7.92</v>
      </c>
      <c r="S160" s="140">
        <v>6.7436</v>
      </c>
      <c r="T160" s="140">
        <v>0.225</v>
      </c>
      <c r="U160" s="140">
        <v>9.41</v>
      </c>
      <c r="V160" s="140">
        <v>2.09</v>
      </c>
      <c r="W160" s="261"/>
      <c r="X160" s="127">
        <v>208</v>
      </c>
      <c r="Y160" s="126">
        <v>105.8</v>
      </c>
      <c r="Z160" s="110">
        <v>5.7</v>
      </c>
      <c r="AA160" s="117">
        <v>222</v>
      </c>
      <c r="AB160" s="117">
        <v>9570</v>
      </c>
      <c r="AC160" s="112">
        <v>13.28</v>
      </c>
      <c r="AD160" s="112">
        <v>6.77</v>
      </c>
      <c r="AE160" s="112">
        <v>6.5</v>
      </c>
      <c r="AF160" s="129">
        <v>22.1</v>
      </c>
      <c r="AG160" s="129">
        <v>22.1</v>
      </c>
      <c r="AH160" s="127">
        <v>499273200</v>
      </c>
      <c r="AI160" s="127">
        <v>203442200</v>
      </c>
      <c r="AJ160" s="127">
        <v>295831000</v>
      </c>
      <c r="AK160" s="127">
        <v>304962519</v>
      </c>
      <c r="AL160" s="127">
        <v>194310701</v>
      </c>
      <c r="AM160" s="127">
        <v>112371452</v>
      </c>
      <c r="AN160" s="127">
        <v>158293973</v>
      </c>
      <c r="AO160" s="127">
        <v>34297094</v>
      </c>
      <c r="AP160" s="252"/>
      <c r="AQ160" s="127">
        <v>91070759</v>
      </c>
      <c r="AR160" s="127">
        <v>103239942</v>
      </c>
      <c r="AS160" s="137">
        <v>490169400</v>
      </c>
      <c r="AT160" s="131">
        <v>557803500</v>
      </c>
      <c r="AU160" s="127">
        <v>290921400</v>
      </c>
      <c r="AV160" s="127">
        <v>183811100</v>
      </c>
      <c r="AW160" s="137">
        <v>83071000</v>
      </c>
      <c r="AX160" s="127">
        <v>169756800</v>
      </c>
      <c r="AY160" s="127">
        <v>164476200</v>
      </c>
      <c r="AZ160" s="252" t="s">
        <v>185</v>
      </c>
      <c r="BA160" s="115">
        <v>514615626.96</v>
      </c>
      <c r="BB160" s="115">
        <v>270271499.77</v>
      </c>
      <c r="BC160" s="115">
        <v>119508541</v>
      </c>
      <c r="BD160" s="115">
        <v>124835586.19</v>
      </c>
      <c r="BE160" s="252" t="s">
        <v>185</v>
      </c>
      <c r="BF160" s="126">
        <v>270208000</v>
      </c>
      <c r="BG160" s="234"/>
      <c r="BH160" s="293">
        <v>251</v>
      </c>
      <c r="BI160" s="139">
        <v>31.395</v>
      </c>
    </row>
    <row r="161" spans="1:61" ht="24" customHeight="1">
      <c r="A161" s="124">
        <v>2010</v>
      </c>
      <c r="B161" s="275" t="s">
        <v>259</v>
      </c>
      <c r="C161" s="275" t="s">
        <v>260</v>
      </c>
      <c r="D161" s="137">
        <v>170.2</v>
      </c>
      <c r="E161" s="301"/>
      <c r="F161" s="124">
        <v>549</v>
      </c>
      <c r="G161" s="256" t="s">
        <v>185</v>
      </c>
      <c r="H161" s="256" t="s">
        <v>187</v>
      </c>
      <c r="I161" s="126">
        <v>170.2</v>
      </c>
      <c r="J161" s="127">
        <v>146.5</v>
      </c>
      <c r="K161" s="150">
        <v>23.7</v>
      </c>
      <c r="L161" s="150">
        <v>71.9</v>
      </c>
      <c r="M161" s="150">
        <v>28.1</v>
      </c>
      <c r="N161" s="127">
        <v>359.3</v>
      </c>
      <c r="O161" s="128">
        <v>28.7</v>
      </c>
      <c r="P161" s="140">
        <v>1.6421</v>
      </c>
      <c r="Q161" s="140">
        <v>17.98</v>
      </c>
      <c r="R161" s="140">
        <v>8.14</v>
      </c>
      <c r="S161" s="140">
        <v>6.7226</v>
      </c>
      <c r="T161" s="140">
        <v>0.246</v>
      </c>
      <c r="U161" s="140">
        <v>7.83</v>
      </c>
      <c r="V161" s="140">
        <v>2.01</v>
      </c>
      <c r="W161" s="262"/>
      <c r="X161" s="127">
        <v>274</v>
      </c>
      <c r="Y161" s="126">
        <v>105.2</v>
      </c>
      <c r="Z161" s="110">
        <v>5.7</v>
      </c>
      <c r="AA161" s="114">
        <v>227.5</v>
      </c>
      <c r="AB161" s="114">
        <v>8628</v>
      </c>
      <c r="AC161" s="112">
        <v>12.14</v>
      </c>
      <c r="AD161" s="112">
        <v>6.49</v>
      </c>
      <c r="AE161" s="112">
        <v>5.66</v>
      </c>
      <c r="AF161" s="129">
        <v>21.32</v>
      </c>
      <c r="AG161" s="129">
        <v>21.32</v>
      </c>
      <c r="AH161" s="127">
        <v>641358000</v>
      </c>
      <c r="AI161" s="127">
        <v>235668100</v>
      </c>
      <c r="AJ161" s="127">
        <v>405689880</v>
      </c>
      <c r="AK161" s="127">
        <v>404967719</v>
      </c>
      <c r="AL161" s="127">
        <v>236390281</v>
      </c>
      <c r="AM161" s="127">
        <v>139689924</v>
      </c>
      <c r="AN161" s="127">
        <v>221451647</v>
      </c>
      <c r="AO161" s="127">
        <v>43826148</v>
      </c>
      <c r="AP161" s="253"/>
      <c r="AQ161" s="127">
        <v>95978164</v>
      </c>
      <c r="AR161" s="127">
        <v>140412117</v>
      </c>
      <c r="AS161" s="137">
        <v>614033000</v>
      </c>
      <c r="AT161" s="131">
        <v>675750000</v>
      </c>
      <c r="AU161" s="127">
        <v>352737600</v>
      </c>
      <c r="AV161" s="127">
        <v>227767900</v>
      </c>
      <c r="AW161" s="137">
        <v>95244500</v>
      </c>
      <c r="AX161" s="127">
        <v>249062040</v>
      </c>
      <c r="AY161" s="127">
        <v>175998900</v>
      </c>
      <c r="AZ161" s="253" t="s">
        <v>185</v>
      </c>
      <c r="BA161" s="115">
        <v>518131626.88</v>
      </c>
      <c r="BB161" s="115">
        <v>273171510.11</v>
      </c>
      <c r="BC161" s="115">
        <v>122485541.44</v>
      </c>
      <c r="BD161" s="115">
        <v>122474575.33</v>
      </c>
      <c r="BE161" s="253" t="s">
        <v>185</v>
      </c>
      <c r="BF161" s="126">
        <v>374170000</v>
      </c>
      <c r="BG161" s="235"/>
      <c r="BH161" s="295"/>
      <c r="BI161" s="139">
        <v>25.444</v>
      </c>
    </row>
    <row r="162" spans="1:60" s="74" customFormat="1" ht="6" customHeight="1" thickBot="1">
      <c r="A162" s="76"/>
      <c r="B162" s="81"/>
      <c r="C162" s="81"/>
      <c r="D162" s="75"/>
      <c r="E162" s="78"/>
      <c r="H162" s="82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4"/>
      <c r="U162" s="83"/>
      <c r="V162" s="83"/>
      <c r="W162" s="83"/>
      <c r="X162" s="78"/>
      <c r="Y162" s="83"/>
      <c r="Z162" s="83"/>
      <c r="AA162" s="83"/>
      <c r="AB162" s="78"/>
      <c r="AC162" s="83"/>
      <c r="AD162" s="83"/>
      <c r="AE162" s="83"/>
      <c r="AF162" s="83"/>
      <c r="AG162" s="83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85"/>
    </row>
    <row r="163" spans="1:61" ht="15" customHeight="1">
      <c r="A163" s="124">
        <v>2003</v>
      </c>
      <c r="B163" s="288" t="s">
        <v>263</v>
      </c>
      <c r="C163" s="288" t="s">
        <v>265</v>
      </c>
      <c r="D163" s="127">
        <v>118.38</v>
      </c>
      <c r="E163" s="233">
        <v>1</v>
      </c>
      <c r="F163" s="124">
        <v>346</v>
      </c>
      <c r="G163" s="254" t="s">
        <v>186</v>
      </c>
      <c r="H163" s="254" t="s">
        <v>187</v>
      </c>
      <c r="I163" s="126">
        <f aca="true" t="shared" si="49" ref="I163:I168">J163+K163</f>
        <v>62.65</v>
      </c>
      <c r="J163" s="127">
        <v>56.97</v>
      </c>
      <c r="K163" s="150">
        <v>5.68</v>
      </c>
      <c r="L163" s="150">
        <v>7.69</v>
      </c>
      <c r="M163" s="150">
        <f>14.22+2.63</f>
        <v>16.85</v>
      </c>
      <c r="N163" s="127">
        <v>355.1</v>
      </c>
      <c r="O163" s="128">
        <v>6.53</v>
      </c>
      <c r="P163" s="128">
        <v>2.64</v>
      </c>
      <c r="Q163" s="128">
        <v>4.4</v>
      </c>
      <c r="R163" s="128">
        <f>S163+T163</f>
        <v>2.5900000000000003</v>
      </c>
      <c r="S163" s="128">
        <v>2.49</v>
      </c>
      <c r="T163" s="128">
        <v>0.1</v>
      </c>
      <c r="U163" s="128">
        <v>0.91</v>
      </c>
      <c r="V163" s="128">
        <f>0.9</f>
        <v>0.9</v>
      </c>
      <c r="W163" s="260" t="s">
        <v>185</v>
      </c>
      <c r="X163" s="127">
        <v>227</v>
      </c>
      <c r="Y163" s="126">
        <v>43.61</v>
      </c>
      <c r="Z163" s="129">
        <v>2.539</v>
      </c>
      <c r="AA163" s="130">
        <v>237.6</v>
      </c>
      <c r="AB163" s="130">
        <v>2849</v>
      </c>
      <c r="AC163" s="129">
        <v>5.32</v>
      </c>
      <c r="AD163" s="129">
        <v>2.56</v>
      </c>
      <c r="AE163" s="128">
        <v>2.76</v>
      </c>
      <c r="AF163" s="129">
        <v>5.32</v>
      </c>
      <c r="AG163" s="128">
        <f aca="true" t="shared" si="50" ref="AG163:AG168">AC163</f>
        <v>5.32</v>
      </c>
      <c r="AH163" s="127">
        <f aca="true" t="shared" si="51" ref="AH163:AH168">AI163+AJ163</f>
        <v>142675099</v>
      </c>
      <c r="AI163" s="127">
        <f aca="true" t="shared" si="52" ref="AI163:AI168">AM163+AQ163</f>
        <v>77880988</v>
      </c>
      <c r="AJ163" s="127">
        <f aca="true" t="shared" si="53" ref="AJ163:AJ168">AN163+AO163+AR163</f>
        <v>64794111</v>
      </c>
      <c r="AK163" s="127">
        <f aca="true" t="shared" si="54" ref="AK163:AK168">AM163+AN163+AO163</f>
        <v>77072658</v>
      </c>
      <c r="AL163" s="127">
        <f aca="true" t="shared" si="55" ref="AL163:AL168">AQ163+AR163</f>
        <v>65602441</v>
      </c>
      <c r="AM163" s="127">
        <v>46277558</v>
      </c>
      <c r="AN163" s="127">
        <v>15511392</v>
      </c>
      <c r="AO163" s="127">
        <v>15283708</v>
      </c>
      <c r="AP163" s="248" t="s">
        <v>185</v>
      </c>
      <c r="AQ163" s="127">
        <v>31603430</v>
      </c>
      <c r="AR163" s="127">
        <f>12448169+21550842</f>
        <v>33999011</v>
      </c>
      <c r="AS163" s="127">
        <v>122184482</v>
      </c>
      <c r="AT163" s="131">
        <f aca="true" t="shared" si="56" ref="AT163:AT168">AU163+AV163+AW163</f>
        <v>125935999</v>
      </c>
      <c r="AU163" s="127">
        <v>63750133</v>
      </c>
      <c r="AV163" s="127">
        <v>44808933</v>
      </c>
      <c r="AW163" s="127">
        <v>17376933</v>
      </c>
      <c r="AX163" s="127">
        <v>53959866</v>
      </c>
      <c r="AY163" s="127">
        <v>26671733</v>
      </c>
      <c r="AZ163" s="248" t="s">
        <v>185</v>
      </c>
      <c r="BA163" s="126">
        <f aca="true" t="shared" si="57" ref="BA163:BA168">BB163+BC163+BD163</f>
        <v>129444555</v>
      </c>
      <c r="BB163" s="127">
        <v>64722277.5</v>
      </c>
      <c r="BC163" s="127">
        <v>45305594.25</v>
      </c>
      <c r="BD163" s="127">
        <v>19416683.25</v>
      </c>
      <c r="BE163" s="248" t="s">
        <v>185</v>
      </c>
      <c r="BF163" s="126">
        <v>19125200</v>
      </c>
      <c r="BG163" s="233" t="s">
        <v>185</v>
      </c>
      <c r="BH163" s="248">
        <v>225</v>
      </c>
      <c r="BI163" s="109"/>
    </row>
    <row r="164" spans="1:61" ht="15" customHeight="1">
      <c r="A164" s="124">
        <v>2004</v>
      </c>
      <c r="B164" s="289"/>
      <c r="C164" s="297" t="s">
        <v>265</v>
      </c>
      <c r="D164" s="127">
        <v>122.1</v>
      </c>
      <c r="E164" s="234"/>
      <c r="F164" s="124">
        <v>360</v>
      </c>
      <c r="G164" s="255"/>
      <c r="H164" s="255" t="s">
        <v>187</v>
      </c>
      <c r="I164" s="126">
        <f t="shared" si="49"/>
        <v>63.959999999999994</v>
      </c>
      <c r="J164" s="127">
        <v>58.3</v>
      </c>
      <c r="K164" s="150">
        <v>5.66</v>
      </c>
      <c r="L164" s="150">
        <v>7.74</v>
      </c>
      <c r="M164" s="150">
        <f>16.11+2.91</f>
        <v>19.02</v>
      </c>
      <c r="N164" s="127">
        <v>355.1</v>
      </c>
      <c r="O164" s="128">
        <v>6.63</v>
      </c>
      <c r="P164" s="128">
        <v>2.93</v>
      </c>
      <c r="Q164" s="128">
        <v>4.69</v>
      </c>
      <c r="R164" s="128">
        <f>S164+T164</f>
        <v>2.8400000000000003</v>
      </c>
      <c r="S164" s="128">
        <v>2.74</v>
      </c>
      <c r="T164" s="128">
        <v>0.1</v>
      </c>
      <c r="U164" s="128">
        <v>0.94</v>
      </c>
      <c r="V164" s="128">
        <v>0.91</v>
      </c>
      <c r="W164" s="261"/>
      <c r="X164" s="127">
        <v>209</v>
      </c>
      <c r="Y164" s="126">
        <v>44.9</v>
      </c>
      <c r="Z164" s="129">
        <v>2.543</v>
      </c>
      <c r="AA164" s="130">
        <v>237.6</v>
      </c>
      <c r="AB164" s="130">
        <v>3145</v>
      </c>
      <c r="AC164" s="129">
        <v>4.8</v>
      </c>
      <c r="AD164" s="129">
        <v>2.47</v>
      </c>
      <c r="AE164" s="128">
        <v>2.33</v>
      </c>
      <c r="AF164" s="129">
        <v>4.8</v>
      </c>
      <c r="AG164" s="128">
        <f t="shared" si="50"/>
        <v>4.8</v>
      </c>
      <c r="AH164" s="127">
        <f t="shared" si="51"/>
        <v>150397976</v>
      </c>
      <c r="AI164" s="127">
        <f t="shared" si="52"/>
        <v>85341478</v>
      </c>
      <c r="AJ164" s="127">
        <f t="shared" si="53"/>
        <v>65056498</v>
      </c>
      <c r="AK164" s="127">
        <f t="shared" si="54"/>
        <v>86390410</v>
      </c>
      <c r="AL164" s="127">
        <f t="shared" si="55"/>
        <v>64007566</v>
      </c>
      <c r="AM164" s="127">
        <v>52450157</v>
      </c>
      <c r="AN164" s="127">
        <v>17202914</v>
      </c>
      <c r="AO164" s="127">
        <v>16737339</v>
      </c>
      <c r="AP164" s="249" t="s">
        <v>185</v>
      </c>
      <c r="AQ164" s="127">
        <v>32891321</v>
      </c>
      <c r="AR164" s="127">
        <f>13190914+17925331</f>
        <v>31116245</v>
      </c>
      <c r="AS164" s="127">
        <v>149066000</v>
      </c>
      <c r="AT164" s="131">
        <f t="shared" si="56"/>
        <v>137955734</v>
      </c>
      <c r="AU164" s="127">
        <v>60152523</v>
      </c>
      <c r="AV164" s="127">
        <v>45921736</v>
      </c>
      <c r="AW164" s="127">
        <v>31881475</v>
      </c>
      <c r="AX164" s="127">
        <v>60906123</v>
      </c>
      <c r="AY164" s="127">
        <v>28119148</v>
      </c>
      <c r="AZ164" s="249" t="s">
        <v>185</v>
      </c>
      <c r="BA164" s="126">
        <f t="shared" si="57"/>
        <v>126236850</v>
      </c>
      <c r="BB164" s="127">
        <v>63118425</v>
      </c>
      <c r="BC164" s="127">
        <v>44182897.5</v>
      </c>
      <c r="BD164" s="127">
        <v>18935527.5</v>
      </c>
      <c r="BE164" s="249" t="s">
        <v>185</v>
      </c>
      <c r="BF164" s="126">
        <v>24345450</v>
      </c>
      <c r="BG164" s="234"/>
      <c r="BH164" s="249">
        <v>225</v>
      </c>
      <c r="BI164" s="109"/>
    </row>
    <row r="165" spans="1:61" ht="15" customHeight="1">
      <c r="A165" s="124">
        <v>2005</v>
      </c>
      <c r="B165" s="289"/>
      <c r="C165" s="297" t="s">
        <v>265</v>
      </c>
      <c r="D165" s="127">
        <v>125.3</v>
      </c>
      <c r="E165" s="234"/>
      <c r="F165" s="124">
        <v>359</v>
      </c>
      <c r="G165" s="255"/>
      <c r="H165" s="255" t="s">
        <v>187</v>
      </c>
      <c r="I165" s="126">
        <f t="shared" si="49"/>
        <v>67.61</v>
      </c>
      <c r="J165" s="127">
        <v>62.02</v>
      </c>
      <c r="K165" s="150">
        <v>5.59</v>
      </c>
      <c r="L165" s="150">
        <v>8.08</v>
      </c>
      <c r="M165" s="150">
        <f>17.15+3.14</f>
        <v>20.29</v>
      </c>
      <c r="N165" s="127">
        <v>360.9</v>
      </c>
      <c r="O165" s="128">
        <v>6.87</v>
      </c>
      <c r="P165" s="128">
        <v>3.29</v>
      </c>
      <c r="Q165" s="128">
        <v>4.86</v>
      </c>
      <c r="R165" s="128">
        <f>S165+T165</f>
        <v>2.92</v>
      </c>
      <c r="S165" s="128">
        <v>2.82</v>
      </c>
      <c r="T165" s="128">
        <v>0.1</v>
      </c>
      <c r="U165" s="128">
        <v>0.97</v>
      </c>
      <c r="V165" s="128">
        <v>0.97</v>
      </c>
      <c r="W165" s="261"/>
      <c r="X165" s="127">
        <v>194</v>
      </c>
      <c r="Y165" s="126">
        <v>47.89</v>
      </c>
      <c r="Z165" s="129">
        <v>2.546</v>
      </c>
      <c r="AA165" s="130">
        <v>237.6</v>
      </c>
      <c r="AB165" s="130">
        <v>3790</v>
      </c>
      <c r="AC165" s="129">
        <v>5.13</v>
      </c>
      <c r="AD165" s="129">
        <v>2.63</v>
      </c>
      <c r="AE165" s="128">
        <v>2.5</v>
      </c>
      <c r="AF165" s="129">
        <v>5.13</v>
      </c>
      <c r="AG165" s="128">
        <f t="shared" si="50"/>
        <v>5.13</v>
      </c>
      <c r="AH165" s="127">
        <f t="shared" si="51"/>
        <v>157921061</v>
      </c>
      <c r="AI165" s="127">
        <f t="shared" si="52"/>
        <v>88871157</v>
      </c>
      <c r="AJ165" s="127">
        <f t="shared" si="53"/>
        <v>69049904</v>
      </c>
      <c r="AK165" s="127">
        <f t="shared" si="54"/>
        <v>89534275</v>
      </c>
      <c r="AL165" s="127">
        <f t="shared" si="55"/>
        <v>68386786</v>
      </c>
      <c r="AM165" s="127">
        <v>53858239</v>
      </c>
      <c r="AN165" s="127">
        <v>17854514</v>
      </c>
      <c r="AO165" s="127">
        <v>17821522</v>
      </c>
      <c r="AP165" s="249" t="s">
        <v>185</v>
      </c>
      <c r="AQ165" s="127">
        <v>35012918</v>
      </c>
      <c r="AR165" s="127">
        <f>14375432+18998436</f>
        <v>33373868</v>
      </c>
      <c r="AS165" s="127">
        <v>163685043</v>
      </c>
      <c r="AT165" s="131">
        <f t="shared" si="56"/>
        <v>152480892</v>
      </c>
      <c r="AU165" s="127">
        <v>67424212</v>
      </c>
      <c r="AV165" s="127">
        <v>50913955</v>
      </c>
      <c r="AW165" s="127">
        <v>34142725</v>
      </c>
      <c r="AX165" s="127">
        <f>25145634+5983762+5579628+24396427+5097232+4753000</f>
        <v>70955683</v>
      </c>
      <c r="AY165" s="127">
        <f>21727532+41427+10706102+35322</f>
        <v>32510383</v>
      </c>
      <c r="AZ165" s="249" t="s">
        <v>185</v>
      </c>
      <c r="BA165" s="126">
        <f t="shared" si="57"/>
        <v>234628330</v>
      </c>
      <c r="BB165" s="127">
        <v>150162131.2</v>
      </c>
      <c r="BC165" s="127">
        <v>61003365.8</v>
      </c>
      <c r="BD165" s="127">
        <v>23462833</v>
      </c>
      <c r="BE165" s="249" t="s">
        <v>185</v>
      </c>
      <c r="BF165" s="126">
        <v>15583754</v>
      </c>
      <c r="BG165" s="234"/>
      <c r="BH165" s="249">
        <v>225</v>
      </c>
      <c r="BI165" s="109"/>
    </row>
    <row r="166" spans="1:61" ht="15" customHeight="1">
      <c r="A166" s="124">
        <v>2006</v>
      </c>
      <c r="B166" s="289"/>
      <c r="C166" s="297" t="s">
        <v>265</v>
      </c>
      <c r="D166" s="127">
        <v>129.8</v>
      </c>
      <c r="E166" s="234"/>
      <c r="F166" s="124">
        <v>360</v>
      </c>
      <c r="G166" s="255"/>
      <c r="H166" s="255" t="s">
        <v>187</v>
      </c>
      <c r="I166" s="126">
        <f t="shared" si="49"/>
        <v>70.92</v>
      </c>
      <c r="J166" s="127">
        <v>66.4</v>
      </c>
      <c r="K166" s="150">
        <v>4.52</v>
      </c>
      <c r="L166" s="150">
        <v>8.18</v>
      </c>
      <c r="M166" s="150">
        <f>18.34+3.52</f>
        <v>21.86</v>
      </c>
      <c r="N166" s="127">
        <v>365.6</v>
      </c>
      <c r="O166" s="128">
        <v>7.62</v>
      </c>
      <c r="P166" s="128">
        <v>4.12</v>
      </c>
      <c r="Q166" s="128">
        <v>5.39</v>
      </c>
      <c r="R166" s="128">
        <f>S166+T166</f>
        <v>3.13</v>
      </c>
      <c r="S166" s="128">
        <v>3.05</v>
      </c>
      <c r="T166" s="128">
        <v>0.08</v>
      </c>
      <c r="U166" s="128">
        <v>1.17</v>
      </c>
      <c r="V166" s="128">
        <v>1.09</v>
      </c>
      <c r="W166" s="261"/>
      <c r="X166" s="127">
        <v>159</v>
      </c>
      <c r="Y166" s="126">
        <v>49.56</v>
      </c>
      <c r="Z166" s="129">
        <v>2.55</v>
      </c>
      <c r="AA166" s="130">
        <v>237.6</v>
      </c>
      <c r="AB166" s="130">
        <v>4251</v>
      </c>
      <c r="AC166" s="129">
        <v>5.37</v>
      </c>
      <c r="AD166" s="129">
        <v>2.78</v>
      </c>
      <c r="AE166" s="128">
        <v>2.59</v>
      </c>
      <c r="AF166" s="129">
        <v>5.37</v>
      </c>
      <c r="AG166" s="128">
        <f t="shared" si="50"/>
        <v>5.37</v>
      </c>
      <c r="AH166" s="127">
        <f t="shared" si="51"/>
        <v>184926005</v>
      </c>
      <c r="AI166" s="127">
        <f t="shared" si="52"/>
        <v>102448997</v>
      </c>
      <c r="AJ166" s="127">
        <f t="shared" si="53"/>
        <v>82477008</v>
      </c>
      <c r="AK166" s="127">
        <f t="shared" si="54"/>
        <v>107394729</v>
      </c>
      <c r="AL166" s="127">
        <f t="shared" si="55"/>
        <v>77531276</v>
      </c>
      <c r="AM166" s="127">
        <v>62310236</v>
      </c>
      <c r="AN166" s="127">
        <v>23258004</v>
      </c>
      <c r="AO166" s="127">
        <v>21826489</v>
      </c>
      <c r="AP166" s="249" t="s">
        <v>185</v>
      </c>
      <c r="AQ166" s="127">
        <v>40138761</v>
      </c>
      <c r="AR166" s="127">
        <f>17205598+20186917</f>
        <v>37392515</v>
      </c>
      <c r="AS166" s="127">
        <v>185068782</v>
      </c>
      <c r="AT166" s="131">
        <f t="shared" si="56"/>
        <v>185332940</v>
      </c>
      <c r="AU166" s="127">
        <v>80645115</v>
      </c>
      <c r="AV166" s="127">
        <v>63627650</v>
      </c>
      <c r="AW166" s="127">
        <v>41060175</v>
      </c>
      <c r="AX166" s="127">
        <f>30771635+7661012+7038125+30448936+6525928+5995546</f>
        <v>88441182</v>
      </c>
      <c r="AY166" s="127">
        <f>25799534+53428+12383852+45539</f>
        <v>38282353</v>
      </c>
      <c r="AZ166" s="249" t="s">
        <v>185</v>
      </c>
      <c r="BA166" s="126">
        <f t="shared" si="57"/>
        <v>270768110</v>
      </c>
      <c r="BB166" s="127">
        <v>173291590.4</v>
      </c>
      <c r="BC166" s="127">
        <v>73107389.7</v>
      </c>
      <c r="BD166" s="127">
        <v>24369129.9</v>
      </c>
      <c r="BE166" s="249" t="s">
        <v>185</v>
      </c>
      <c r="BF166" s="126">
        <v>11770115</v>
      </c>
      <c r="BG166" s="235"/>
      <c r="BH166" s="249">
        <v>225</v>
      </c>
      <c r="BI166" s="109"/>
    </row>
    <row r="167" spans="1:61" ht="15" customHeight="1">
      <c r="A167" s="124">
        <v>2007</v>
      </c>
      <c r="B167" s="289"/>
      <c r="C167" s="297" t="s">
        <v>265</v>
      </c>
      <c r="D167" s="127">
        <v>139.5</v>
      </c>
      <c r="E167" s="234"/>
      <c r="F167" s="124">
        <v>357</v>
      </c>
      <c r="G167" s="255"/>
      <c r="H167" s="255" t="s">
        <v>187</v>
      </c>
      <c r="I167" s="126">
        <f t="shared" si="49"/>
        <v>72.8</v>
      </c>
      <c r="J167" s="127">
        <v>68.83</v>
      </c>
      <c r="K167" s="150">
        <v>3.97</v>
      </c>
      <c r="L167" s="150">
        <v>9.58</v>
      </c>
      <c r="M167" s="150">
        <f>19.19+3.92</f>
        <v>23.11</v>
      </c>
      <c r="N167" s="127">
        <v>368.9</v>
      </c>
      <c r="O167" s="128">
        <v>7.93</v>
      </c>
      <c r="P167" s="128">
        <v>4.12</v>
      </c>
      <c r="Q167" s="128">
        <v>5.61</v>
      </c>
      <c r="R167" s="128">
        <f>S167+T167</f>
        <v>3.1599999999999997</v>
      </c>
      <c r="S167" s="128">
        <v>3.09</v>
      </c>
      <c r="T167" s="128">
        <v>0.07</v>
      </c>
      <c r="U167" s="128">
        <v>1.4</v>
      </c>
      <c r="V167" s="128">
        <v>1.05</v>
      </c>
      <c r="W167" s="261"/>
      <c r="X167" s="127">
        <v>151</v>
      </c>
      <c r="Y167" s="126">
        <v>51.15</v>
      </c>
      <c r="Z167" s="129">
        <v>2.551</v>
      </c>
      <c r="AA167" s="130">
        <v>237.6</v>
      </c>
      <c r="AB167" s="130">
        <v>4849</v>
      </c>
      <c r="AC167" s="129">
        <v>5.22</v>
      </c>
      <c r="AD167" s="129">
        <v>2.83</v>
      </c>
      <c r="AE167" s="128">
        <v>2.39</v>
      </c>
      <c r="AF167" s="129">
        <v>5.22</v>
      </c>
      <c r="AG167" s="128">
        <f t="shared" si="50"/>
        <v>5.22</v>
      </c>
      <c r="AH167" s="127">
        <f t="shared" si="51"/>
        <v>201594042</v>
      </c>
      <c r="AI167" s="127">
        <f t="shared" si="52"/>
        <v>112111266</v>
      </c>
      <c r="AJ167" s="127">
        <f t="shared" si="53"/>
        <v>89482776</v>
      </c>
      <c r="AK167" s="127">
        <f t="shared" si="54"/>
        <v>120182500</v>
      </c>
      <c r="AL167" s="127">
        <f t="shared" si="55"/>
        <v>81411542</v>
      </c>
      <c r="AM167" s="127">
        <v>67885825</v>
      </c>
      <c r="AN167" s="127">
        <v>29861021</v>
      </c>
      <c r="AO167" s="127">
        <v>22435654</v>
      </c>
      <c r="AP167" s="249" t="s">
        <v>185</v>
      </c>
      <c r="AQ167" s="127">
        <v>44225441</v>
      </c>
      <c r="AR167" s="127">
        <f>17512661+19673440</f>
        <v>37186101</v>
      </c>
      <c r="AS167" s="127">
        <v>204189008</v>
      </c>
      <c r="AT167" s="131">
        <f t="shared" si="56"/>
        <v>206737702</v>
      </c>
      <c r="AU167" s="127">
        <v>90310185</v>
      </c>
      <c r="AV167" s="127">
        <v>70879569</v>
      </c>
      <c r="AW167" s="127">
        <v>45547948</v>
      </c>
      <c r="AX167" s="127">
        <f>36029550+7957475+794100+34039880+6778558+6764622</f>
        <v>92364185</v>
      </c>
      <c r="AY167" s="127">
        <f>29357000+54300+15155345+46250</f>
        <v>44612895</v>
      </c>
      <c r="AZ167" s="249" t="s">
        <v>185</v>
      </c>
      <c r="BA167" s="126">
        <f t="shared" si="57"/>
        <v>375321340</v>
      </c>
      <c r="BB167" s="127">
        <v>262724938</v>
      </c>
      <c r="BC167" s="127">
        <v>75064268</v>
      </c>
      <c r="BD167" s="127">
        <v>37532134</v>
      </c>
      <c r="BE167" s="249" t="s">
        <v>185</v>
      </c>
      <c r="BF167" s="126">
        <v>9757440</v>
      </c>
      <c r="BG167" s="233" t="s">
        <v>184</v>
      </c>
      <c r="BH167" s="249">
        <v>225</v>
      </c>
      <c r="BI167" s="109"/>
    </row>
    <row r="168" spans="1:61" ht="15" customHeight="1">
      <c r="A168" s="124">
        <v>2008</v>
      </c>
      <c r="B168" s="290" t="s">
        <v>264</v>
      </c>
      <c r="C168" s="297" t="s">
        <v>265</v>
      </c>
      <c r="D168" s="127">
        <v>140</v>
      </c>
      <c r="E168" s="234"/>
      <c r="F168" s="124">
        <v>370</v>
      </c>
      <c r="G168" s="255"/>
      <c r="H168" s="255" t="s">
        <v>187</v>
      </c>
      <c r="I168" s="126">
        <f t="shared" si="49"/>
        <v>73.68</v>
      </c>
      <c r="J168" s="127">
        <v>70.12</v>
      </c>
      <c r="K168" s="150">
        <v>3.56</v>
      </c>
      <c r="L168" s="150">
        <v>9.67</v>
      </c>
      <c r="M168" s="150">
        <f>20.41+4.45</f>
        <v>24.86</v>
      </c>
      <c r="N168" s="127">
        <v>369.7</v>
      </c>
      <c r="O168" s="128">
        <v>8.15</v>
      </c>
      <c r="P168" s="128">
        <v>4.82</v>
      </c>
      <c r="Q168" s="128">
        <v>5.75</v>
      </c>
      <c r="R168" s="128">
        <v>3.2</v>
      </c>
      <c r="S168" s="128">
        <v>3.1</v>
      </c>
      <c r="T168" s="128">
        <v>0.1</v>
      </c>
      <c r="U168" s="128">
        <v>1.5</v>
      </c>
      <c r="V168" s="128">
        <v>1.05</v>
      </c>
      <c r="W168" s="261"/>
      <c r="X168" s="127">
        <v>106</v>
      </c>
      <c r="Y168" s="126">
        <v>52</v>
      </c>
      <c r="Z168" s="129">
        <v>2.67</v>
      </c>
      <c r="AA168" s="123">
        <v>237.6</v>
      </c>
      <c r="AB168" s="123">
        <v>5025</v>
      </c>
      <c r="AC168" s="129">
        <v>5.29</v>
      </c>
      <c r="AD168" s="129">
        <v>2.88</v>
      </c>
      <c r="AE168" s="128">
        <f>1.15+1.26</f>
        <v>2.41</v>
      </c>
      <c r="AF168" s="129">
        <v>5.29</v>
      </c>
      <c r="AG168" s="128">
        <f t="shared" si="50"/>
        <v>5.29</v>
      </c>
      <c r="AH168" s="127">
        <f t="shared" si="51"/>
        <v>223470638.1</v>
      </c>
      <c r="AI168" s="127">
        <f t="shared" si="52"/>
        <v>123441798</v>
      </c>
      <c r="AJ168" s="127">
        <f t="shared" si="53"/>
        <v>100028840.1</v>
      </c>
      <c r="AK168" s="127">
        <f t="shared" si="54"/>
        <v>134434232</v>
      </c>
      <c r="AL168" s="127">
        <f t="shared" si="55"/>
        <v>89036406.1</v>
      </c>
      <c r="AM168" s="127">
        <v>75056122</v>
      </c>
      <c r="AN168" s="127">
        <v>34897810</v>
      </c>
      <c r="AO168" s="127">
        <v>24480300</v>
      </c>
      <c r="AP168" s="249" t="s">
        <v>185</v>
      </c>
      <c r="AQ168" s="127">
        <v>48385676</v>
      </c>
      <c r="AR168" s="127">
        <f>19414899+21235831.1</f>
        <v>40650730.1</v>
      </c>
      <c r="AS168" s="127">
        <v>234247787</v>
      </c>
      <c r="AT168" s="131">
        <f t="shared" si="56"/>
        <v>270885900</v>
      </c>
      <c r="AU168" s="127">
        <v>130144900</v>
      </c>
      <c r="AV168" s="127">
        <v>90964400</v>
      </c>
      <c r="AW168" s="127">
        <v>49776600</v>
      </c>
      <c r="AX168" s="127">
        <f>81874800+16811300+14881700</f>
        <v>113567800</v>
      </c>
      <c r="AY168" s="127">
        <f>55801800+191700</f>
        <v>55993500</v>
      </c>
      <c r="AZ168" s="249" t="s">
        <v>185</v>
      </c>
      <c r="BA168" s="126">
        <f t="shared" si="57"/>
        <v>547942382</v>
      </c>
      <c r="BB168" s="127">
        <v>298476539</v>
      </c>
      <c r="BC168" s="127">
        <v>99774736</v>
      </c>
      <c r="BD168" s="127">
        <v>149691107</v>
      </c>
      <c r="BE168" s="249" t="s">
        <v>185</v>
      </c>
      <c r="BF168" s="126">
        <v>7550300</v>
      </c>
      <c r="BG168" s="234"/>
      <c r="BH168" s="249">
        <v>225</v>
      </c>
      <c r="BI168" s="109"/>
    </row>
    <row r="169" spans="1:61" ht="15" customHeight="1">
      <c r="A169" s="124">
        <v>2009</v>
      </c>
      <c r="B169" s="289"/>
      <c r="C169" s="297" t="s">
        <v>265</v>
      </c>
      <c r="D169" s="127">
        <v>140</v>
      </c>
      <c r="E169" s="234"/>
      <c r="F169" s="124">
        <v>365</v>
      </c>
      <c r="G169" s="255"/>
      <c r="H169" s="255" t="s">
        <v>187</v>
      </c>
      <c r="I169" s="126">
        <v>74.9</v>
      </c>
      <c r="J169" s="127">
        <v>71.8</v>
      </c>
      <c r="K169" s="150">
        <v>3.1</v>
      </c>
      <c r="L169" s="150">
        <f>(9260+562)/1000</f>
        <v>9.822</v>
      </c>
      <c r="M169" s="150">
        <f>(4897+21114)/1000</f>
        <v>26.011</v>
      </c>
      <c r="N169" s="127">
        <v>373</v>
      </c>
      <c r="O169" s="128">
        <v>7.27</v>
      </c>
      <c r="P169" s="128">
        <v>4.08</v>
      </c>
      <c r="Q169" s="128">
        <f>R169+U169+V169</f>
        <v>5.260000000000001</v>
      </c>
      <c r="R169" s="128">
        <v>3.16</v>
      </c>
      <c r="S169" s="128">
        <v>3.1</v>
      </c>
      <c r="T169" s="128">
        <v>0.6</v>
      </c>
      <c r="U169" s="128">
        <v>1.11</v>
      </c>
      <c r="V169" s="128">
        <v>0.99</v>
      </c>
      <c r="W169" s="261"/>
      <c r="X169" s="127">
        <v>110</v>
      </c>
      <c r="Y169" s="126">
        <v>53.04</v>
      </c>
      <c r="Z169" s="129">
        <f>2.674</f>
        <v>2.674</v>
      </c>
      <c r="AA169" s="123">
        <v>237.6</v>
      </c>
      <c r="AB169" s="123">
        <v>5321</v>
      </c>
      <c r="AC169" s="129">
        <v>5.18</v>
      </c>
      <c r="AD169" s="129">
        <v>2.9</v>
      </c>
      <c r="AE169" s="128">
        <v>2.28</v>
      </c>
      <c r="AF169" s="129">
        <v>5.18</v>
      </c>
      <c r="AG169" s="128">
        <f>AC169</f>
        <v>5.18</v>
      </c>
      <c r="AH169" s="127">
        <f>AI169+AJ169</f>
        <v>228515305</v>
      </c>
      <c r="AI169" s="127">
        <f>AM169+AQ169</f>
        <v>132835642</v>
      </c>
      <c r="AJ169" s="127">
        <f>AN169+AO169+AR169</f>
        <v>95679663</v>
      </c>
      <c r="AK169" s="127">
        <f>AM169+AN169+AO169</f>
        <v>138224305</v>
      </c>
      <c r="AL169" s="127">
        <f>AQ169+AR169</f>
        <v>90291000</v>
      </c>
      <c r="AM169" s="127">
        <v>82897129</v>
      </c>
      <c r="AN169" s="127">
        <v>29152656</v>
      </c>
      <c r="AO169" s="127">
        <v>26174520</v>
      </c>
      <c r="AP169" s="249" t="s">
        <v>185</v>
      </c>
      <c r="AQ169" s="127">
        <v>49938513</v>
      </c>
      <c r="AR169" s="127">
        <f>20028867+20323620</f>
        <v>40352487</v>
      </c>
      <c r="AS169" s="127">
        <v>233254821</v>
      </c>
      <c r="AT169" s="131">
        <f>AU169+AV169+AW169</f>
        <v>263503418</v>
      </c>
      <c r="AU169" s="127">
        <v>121741200</v>
      </c>
      <c r="AV169" s="127">
        <v>91408618</v>
      </c>
      <c r="AW169" s="127">
        <v>50353600</v>
      </c>
      <c r="AX169" s="127">
        <f>44058610+8949800+9155500+42090400+7623945+7799150</f>
        <v>119677405</v>
      </c>
      <c r="AY169" s="127">
        <f>44607700+110800+21693700+94300</f>
        <v>66506500</v>
      </c>
      <c r="AZ169" s="249" t="s">
        <v>185</v>
      </c>
      <c r="BA169" s="126">
        <f>BB169+BC169+BD169</f>
        <v>1300305284</v>
      </c>
      <c r="BB169" s="127">
        <v>733602227</v>
      </c>
      <c r="BC169" s="127">
        <v>339107168</v>
      </c>
      <c r="BD169" s="127">
        <v>227595889</v>
      </c>
      <c r="BE169" s="249" t="s">
        <v>185</v>
      </c>
      <c r="BF169" s="126">
        <v>2544200</v>
      </c>
      <c r="BG169" s="234"/>
      <c r="BH169" s="249">
        <v>225</v>
      </c>
      <c r="BI169" s="111">
        <v>12.9</v>
      </c>
    </row>
    <row r="170" spans="1:61" ht="15" customHeight="1">
      <c r="A170" s="124">
        <v>2010</v>
      </c>
      <c r="B170" s="291"/>
      <c r="C170" s="298" t="s">
        <v>265</v>
      </c>
      <c r="D170" s="127">
        <v>140</v>
      </c>
      <c r="E170" s="235"/>
      <c r="F170" s="124">
        <v>365</v>
      </c>
      <c r="G170" s="256"/>
      <c r="H170" s="256" t="s">
        <v>187</v>
      </c>
      <c r="I170" s="126">
        <v>76.3</v>
      </c>
      <c r="J170" s="127">
        <v>73.5</v>
      </c>
      <c r="K170" s="150">
        <v>2.8</v>
      </c>
      <c r="L170" s="150">
        <v>9.92</v>
      </c>
      <c r="M170" s="150">
        <v>27.3</v>
      </c>
      <c r="N170" s="127">
        <v>395.5</v>
      </c>
      <c r="O170" s="128">
        <v>7.38</v>
      </c>
      <c r="P170" s="128">
        <v>4.43</v>
      </c>
      <c r="Q170" s="128">
        <f>R170+U170+V170</f>
        <v>5.57</v>
      </c>
      <c r="R170" s="128">
        <v>3.53</v>
      </c>
      <c r="S170" s="128">
        <v>3.43</v>
      </c>
      <c r="T170" s="128">
        <v>0.1</v>
      </c>
      <c r="U170" s="128">
        <v>1.04</v>
      </c>
      <c r="V170" s="128">
        <v>1</v>
      </c>
      <c r="W170" s="262"/>
      <c r="X170" s="127">
        <v>104</v>
      </c>
      <c r="Y170" s="126">
        <v>54.1</v>
      </c>
      <c r="Z170" s="129">
        <v>2.698</v>
      </c>
      <c r="AA170" s="123">
        <v>255</v>
      </c>
      <c r="AB170" s="123">
        <v>5125</v>
      </c>
      <c r="AC170" s="129">
        <v>5.24</v>
      </c>
      <c r="AD170" s="129">
        <v>3.15</v>
      </c>
      <c r="AE170" s="128">
        <v>2.09</v>
      </c>
      <c r="AF170" s="129">
        <v>5.24</v>
      </c>
      <c r="AG170" s="128">
        <f>AC170</f>
        <v>5.24</v>
      </c>
      <c r="AH170" s="127">
        <f>AI170+AJ170</f>
        <v>366056323</v>
      </c>
      <c r="AI170" s="127">
        <f>AM170+AQ170</f>
        <v>165572659</v>
      </c>
      <c r="AJ170" s="127">
        <f>AN170+AO170+AR170</f>
        <v>200483664</v>
      </c>
      <c r="AK170" s="127">
        <f>AM170+AN170+AO170</f>
        <v>227734269</v>
      </c>
      <c r="AL170" s="127">
        <f>AQ170+AR170</f>
        <v>138322054</v>
      </c>
      <c r="AM170" s="127">
        <v>106815977</v>
      </c>
      <c r="AN170" s="127">
        <v>63187795</v>
      </c>
      <c r="AO170" s="127">
        <v>57730497</v>
      </c>
      <c r="AP170" s="250" t="s">
        <v>185</v>
      </c>
      <c r="AQ170" s="127">
        <v>58756682</v>
      </c>
      <c r="AR170" s="127">
        <f>42671737+36893635</f>
        <v>79565372</v>
      </c>
      <c r="AS170" s="127">
        <v>354158035</v>
      </c>
      <c r="AT170" s="131">
        <f>AU170+AV170+AW170</f>
        <v>332649900</v>
      </c>
      <c r="AU170" s="127">
        <v>166365900</v>
      </c>
      <c r="AV170" s="127">
        <v>104391800</v>
      </c>
      <c r="AW170" s="127">
        <v>61892200</v>
      </c>
      <c r="AX170" s="127">
        <f>54156100+10356600+11240650+46191450+8822340+8649485</f>
        <v>139416625</v>
      </c>
      <c r="AY170" s="127">
        <f>54719700+142700+106900+27993500+121500+91100</f>
        <v>83175400</v>
      </c>
      <c r="AZ170" s="250" t="s">
        <v>185</v>
      </c>
      <c r="BA170" s="126">
        <f>BB170+BC170+BD170</f>
        <v>1953194075</v>
      </c>
      <c r="BB170" s="127">
        <v>1086339145</v>
      </c>
      <c r="BC170" s="127">
        <v>631915310</v>
      </c>
      <c r="BD170" s="127">
        <v>234939620</v>
      </c>
      <c r="BE170" s="250" t="s">
        <v>185</v>
      </c>
      <c r="BF170" s="126">
        <v>15849400</v>
      </c>
      <c r="BG170" s="235"/>
      <c r="BH170" s="250">
        <v>225</v>
      </c>
      <c r="BI170" s="111">
        <v>12.44</v>
      </c>
    </row>
    <row r="171" spans="1:60" s="74" customFormat="1" ht="6" customHeight="1" thickBot="1">
      <c r="A171" s="76"/>
      <c r="B171" s="81"/>
      <c r="C171" s="81"/>
      <c r="D171" s="75"/>
      <c r="E171" s="78"/>
      <c r="H171" s="82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4"/>
      <c r="U171" s="83"/>
      <c r="V171" s="83"/>
      <c r="W171" s="83"/>
      <c r="X171" s="78"/>
      <c r="Y171" s="83"/>
      <c r="Z171" s="83"/>
      <c r="AA171" s="83"/>
      <c r="AB171" s="78"/>
      <c r="AC171" s="83"/>
      <c r="AD171" s="83"/>
      <c r="AE171" s="83"/>
      <c r="AF171" s="83"/>
      <c r="AG171" s="83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85"/>
    </row>
    <row r="172" spans="1:61" ht="15" customHeight="1">
      <c r="A172" s="135">
        <v>2001</v>
      </c>
      <c r="B172" s="276" t="s">
        <v>266</v>
      </c>
      <c r="C172" s="276" t="s">
        <v>267</v>
      </c>
      <c r="D172" s="137">
        <v>101.22</v>
      </c>
      <c r="E172" s="302">
        <v>1</v>
      </c>
      <c r="F172" s="135">
        <v>655</v>
      </c>
      <c r="G172" s="292" t="s">
        <v>186</v>
      </c>
      <c r="H172" s="292" t="s">
        <v>187</v>
      </c>
      <c r="I172" s="115">
        <v>101.22</v>
      </c>
      <c r="J172" s="137">
        <v>92.84</v>
      </c>
      <c r="K172" s="139">
        <v>8.38</v>
      </c>
      <c r="L172" s="139">
        <v>3.15</v>
      </c>
      <c r="M172" s="139">
        <v>0.43</v>
      </c>
      <c r="N172" s="137">
        <v>442.2</v>
      </c>
      <c r="O172" s="140">
        <v>23.83</v>
      </c>
      <c r="P172" s="140">
        <v>0.46</v>
      </c>
      <c r="Q172" s="140">
        <v>2.6</v>
      </c>
      <c r="R172" s="140">
        <v>1.15</v>
      </c>
      <c r="S172" s="140">
        <v>1.13</v>
      </c>
      <c r="T172" s="140">
        <v>0.02</v>
      </c>
      <c r="U172" s="140">
        <v>1.3</v>
      </c>
      <c r="V172" s="140">
        <v>0.15</v>
      </c>
      <c r="W172" s="292" t="s">
        <v>185</v>
      </c>
      <c r="X172" s="137">
        <v>3065</v>
      </c>
      <c r="Y172" s="115">
        <v>89.35</v>
      </c>
      <c r="Z172" s="112">
        <v>1.94</v>
      </c>
      <c r="AA172" s="141">
        <v>267.3</v>
      </c>
      <c r="AB172" s="141">
        <v>3780</v>
      </c>
      <c r="AC172" s="112">
        <v>3.7</v>
      </c>
      <c r="AD172" s="112">
        <v>1.02</v>
      </c>
      <c r="AE172" s="140">
        <v>2.68</v>
      </c>
      <c r="AF172" s="140">
        <v>19.53</v>
      </c>
      <c r="AG172" s="140">
        <v>19.53</v>
      </c>
      <c r="AH172" s="137">
        <v>73148000</v>
      </c>
      <c r="AI172" s="137">
        <v>37136000</v>
      </c>
      <c r="AJ172" s="137">
        <v>36012000</v>
      </c>
      <c r="AK172" s="137">
        <v>56598000</v>
      </c>
      <c r="AL172" s="137">
        <v>16550000</v>
      </c>
      <c r="AM172" s="137">
        <v>24139000</v>
      </c>
      <c r="AN172" s="137">
        <v>31416000</v>
      </c>
      <c r="AO172" s="137">
        <v>1043000</v>
      </c>
      <c r="AP172" s="251" t="s">
        <v>185</v>
      </c>
      <c r="AQ172" s="137">
        <v>12997000</v>
      </c>
      <c r="AR172" s="137">
        <v>3553000</v>
      </c>
      <c r="AS172" s="137">
        <v>65800000</v>
      </c>
      <c r="AT172" s="142">
        <v>82334000</v>
      </c>
      <c r="AU172" s="137">
        <v>63338000</v>
      </c>
      <c r="AV172" s="137">
        <v>18996000</v>
      </c>
      <c r="AW172" s="137"/>
      <c r="AX172" s="137">
        <v>14477000</v>
      </c>
      <c r="AY172" s="137">
        <v>18925000</v>
      </c>
      <c r="AZ172" s="251" t="s">
        <v>185</v>
      </c>
      <c r="BA172" s="115">
        <v>7884222</v>
      </c>
      <c r="BB172" s="137">
        <v>7831701</v>
      </c>
      <c r="BC172" s="137">
        <v>0</v>
      </c>
      <c r="BD172" s="137">
        <v>52521</v>
      </c>
      <c r="BE172" s="115">
        <v>229846</v>
      </c>
      <c r="BF172" s="115">
        <v>41543367</v>
      </c>
      <c r="BG172" s="251" t="s">
        <v>184</v>
      </c>
      <c r="BH172" s="251">
        <v>250</v>
      </c>
      <c r="BI172" s="188"/>
    </row>
    <row r="173" spans="1:61" ht="15" customHeight="1">
      <c r="A173" s="135">
        <v>2002</v>
      </c>
      <c r="B173" s="274" t="s">
        <v>266</v>
      </c>
      <c r="C173" s="274" t="s">
        <v>267</v>
      </c>
      <c r="D173" s="137">
        <v>102.31</v>
      </c>
      <c r="E173" s="303">
        <v>1</v>
      </c>
      <c r="F173" s="135">
        <v>746</v>
      </c>
      <c r="G173" s="274" t="s">
        <v>186</v>
      </c>
      <c r="H173" s="274" t="s">
        <v>187</v>
      </c>
      <c r="I173" s="115">
        <v>102.31</v>
      </c>
      <c r="J173" s="137">
        <v>93.94</v>
      </c>
      <c r="K173" s="139">
        <v>8.37</v>
      </c>
      <c r="L173" s="139">
        <v>3.21</v>
      </c>
      <c r="M173" s="139">
        <v>0.51</v>
      </c>
      <c r="N173" s="137">
        <v>442.2</v>
      </c>
      <c r="O173" s="140">
        <v>26.44</v>
      </c>
      <c r="P173" s="140">
        <v>1.02</v>
      </c>
      <c r="Q173" s="140">
        <v>14.1</v>
      </c>
      <c r="R173" s="140">
        <v>7.48</v>
      </c>
      <c r="S173" s="140">
        <v>7.38</v>
      </c>
      <c r="T173" s="140">
        <v>0.1</v>
      </c>
      <c r="U173" s="140">
        <v>5.5</v>
      </c>
      <c r="V173" s="140">
        <v>1.12</v>
      </c>
      <c r="W173" s="274" t="s">
        <v>185</v>
      </c>
      <c r="X173" s="137">
        <v>4884</v>
      </c>
      <c r="Y173" s="115">
        <v>90.57</v>
      </c>
      <c r="Z173" s="112">
        <v>1.97</v>
      </c>
      <c r="AA173" s="141">
        <v>267.3</v>
      </c>
      <c r="AB173" s="141">
        <v>3878</v>
      </c>
      <c r="AC173" s="112">
        <v>18.74</v>
      </c>
      <c r="AD173" s="112">
        <v>6.09</v>
      </c>
      <c r="AE173" s="140">
        <v>12.65</v>
      </c>
      <c r="AF173" s="140">
        <v>18.74</v>
      </c>
      <c r="AG173" s="140">
        <v>18.74</v>
      </c>
      <c r="AH173" s="137">
        <v>420240000</v>
      </c>
      <c r="AI173" s="137">
        <v>239664000</v>
      </c>
      <c r="AJ173" s="137">
        <v>180576000</v>
      </c>
      <c r="AK173" s="137">
        <v>323203000</v>
      </c>
      <c r="AL173" s="137">
        <v>97037000</v>
      </c>
      <c r="AM173" s="137">
        <v>161983000</v>
      </c>
      <c r="AN173" s="137">
        <v>154347000</v>
      </c>
      <c r="AO173" s="137">
        <v>6874000</v>
      </c>
      <c r="AP173" s="272"/>
      <c r="AQ173" s="137">
        <v>77681000</v>
      </c>
      <c r="AR173" s="137">
        <v>19355000</v>
      </c>
      <c r="AS173" s="137">
        <v>398900000</v>
      </c>
      <c r="AT173" s="142">
        <v>590565000</v>
      </c>
      <c r="AU173" s="137">
        <v>513938000</v>
      </c>
      <c r="AV173" s="137">
        <v>76627000</v>
      </c>
      <c r="AW173" s="137"/>
      <c r="AX173" s="137">
        <v>108159000</v>
      </c>
      <c r="AY173" s="137">
        <v>117879000</v>
      </c>
      <c r="AZ173" s="272" t="s">
        <v>185</v>
      </c>
      <c r="BA173" s="115">
        <v>46629923</v>
      </c>
      <c r="BB173" s="137">
        <v>36107957</v>
      </c>
      <c r="BC173" s="137">
        <v>5146541</v>
      </c>
      <c r="BD173" s="137">
        <v>5375425</v>
      </c>
      <c r="BE173" s="125">
        <v>1681379</v>
      </c>
      <c r="BF173" s="115">
        <v>139665005</v>
      </c>
      <c r="BG173" s="272" t="s">
        <v>184</v>
      </c>
      <c r="BH173" s="272">
        <v>250</v>
      </c>
      <c r="BI173" s="188"/>
    </row>
    <row r="174" spans="1:61" ht="15" customHeight="1">
      <c r="A174" s="135">
        <v>2003</v>
      </c>
      <c r="B174" s="274" t="s">
        <v>266</v>
      </c>
      <c r="C174" s="274" t="s">
        <v>267</v>
      </c>
      <c r="D174" s="137">
        <v>102.8</v>
      </c>
      <c r="E174" s="303">
        <v>1</v>
      </c>
      <c r="F174" s="135">
        <v>786</v>
      </c>
      <c r="G174" s="274" t="s">
        <v>186</v>
      </c>
      <c r="H174" s="274" t="s">
        <v>187</v>
      </c>
      <c r="I174" s="115">
        <v>102.8</v>
      </c>
      <c r="J174" s="137">
        <v>94.6</v>
      </c>
      <c r="K174" s="139">
        <v>8.2</v>
      </c>
      <c r="L174" s="139">
        <v>3.27</v>
      </c>
      <c r="M174" s="139">
        <v>0.58</v>
      </c>
      <c r="N174" s="137">
        <v>442.2</v>
      </c>
      <c r="O174" s="140">
        <v>24.66</v>
      </c>
      <c r="P174" s="140">
        <v>0.8</v>
      </c>
      <c r="Q174" s="140">
        <v>13.9</v>
      </c>
      <c r="R174" s="140">
        <v>7.24</v>
      </c>
      <c r="S174" s="140">
        <v>7.13</v>
      </c>
      <c r="T174" s="140">
        <v>0.11</v>
      </c>
      <c r="U174" s="140">
        <v>5.7</v>
      </c>
      <c r="V174" s="140">
        <v>0.96</v>
      </c>
      <c r="W174" s="274" t="s">
        <v>185</v>
      </c>
      <c r="X174" s="137">
        <v>4349</v>
      </c>
      <c r="Y174" s="115">
        <v>91.09</v>
      </c>
      <c r="Z174" s="112">
        <v>2</v>
      </c>
      <c r="AA174" s="141">
        <v>267.3</v>
      </c>
      <c r="AB174" s="141">
        <v>3984</v>
      </c>
      <c r="AC174" s="112">
        <v>17.57</v>
      </c>
      <c r="AD174" s="112">
        <v>5.57</v>
      </c>
      <c r="AE174" s="140">
        <v>12</v>
      </c>
      <c r="AF174" s="140">
        <v>17.57</v>
      </c>
      <c r="AG174" s="140">
        <v>17.57</v>
      </c>
      <c r="AH174" s="137">
        <v>449905000</v>
      </c>
      <c r="AI174" s="137">
        <v>243082000</v>
      </c>
      <c r="AJ174" s="137">
        <v>206823000</v>
      </c>
      <c r="AK174" s="137">
        <v>360228000</v>
      </c>
      <c r="AL174" s="137">
        <v>89677000</v>
      </c>
      <c r="AM174" s="137">
        <v>172563000</v>
      </c>
      <c r="AN174" s="137">
        <v>180083000</v>
      </c>
      <c r="AO174" s="137">
        <v>7582000</v>
      </c>
      <c r="AP174" s="272"/>
      <c r="AQ174" s="137">
        <v>70519000</v>
      </c>
      <c r="AR174" s="137">
        <v>19158000</v>
      </c>
      <c r="AS174" s="137">
        <v>458100000</v>
      </c>
      <c r="AT174" s="142">
        <v>634766000</v>
      </c>
      <c r="AU174" s="137">
        <v>550979000</v>
      </c>
      <c r="AV174" s="137">
        <v>83787000</v>
      </c>
      <c r="AW174" s="137"/>
      <c r="AX174" s="137">
        <v>117389000</v>
      </c>
      <c r="AY174" s="137">
        <v>115584000</v>
      </c>
      <c r="AZ174" s="272" t="s">
        <v>185</v>
      </c>
      <c r="BA174" s="115">
        <v>47649920</v>
      </c>
      <c r="BB174" s="137">
        <v>33709531</v>
      </c>
      <c r="BC174" s="137">
        <v>5871797</v>
      </c>
      <c r="BD174" s="137">
        <v>8068592</v>
      </c>
      <c r="BE174" s="115">
        <v>265555</v>
      </c>
      <c r="BF174" s="115">
        <v>206046547</v>
      </c>
      <c r="BG174" s="272" t="s">
        <v>184</v>
      </c>
      <c r="BH174" s="272">
        <v>250</v>
      </c>
      <c r="BI174" s="188"/>
    </row>
    <row r="175" spans="1:61" ht="15" customHeight="1">
      <c r="A175" s="135">
        <v>2004</v>
      </c>
      <c r="B175" s="274" t="s">
        <v>266</v>
      </c>
      <c r="C175" s="274" t="s">
        <v>267</v>
      </c>
      <c r="D175" s="137">
        <v>102</v>
      </c>
      <c r="E175" s="303">
        <v>1</v>
      </c>
      <c r="F175" s="135">
        <v>745</v>
      </c>
      <c r="G175" s="274" t="s">
        <v>186</v>
      </c>
      <c r="H175" s="274" t="s">
        <v>187</v>
      </c>
      <c r="I175" s="115">
        <v>102</v>
      </c>
      <c r="J175" s="137">
        <v>93.87</v>
      </c>
      <c r="K175" s="139">
        <v>8.13</v>
      </c>
      <c r="L175" s="139">
        <v>3.32</v>
      </c>
      <c r="M175" s="139">
        <v>0.62</v>
      </c>
      <c r="N175" s="137">
        <v>442.2</v>
      </c>
      <c r="O175" s="140">
        <v>24.88</v>
      </c>
      <c r="P175" s="140">
        <v>1.1</v>
      </c>
      <c r="Q175" s="140">
        <v>13.4</v>
      </c>
      <c r="R175" s="140">
        <v>7.2</v>
      </c>
      <c r="S175" s="140">
        <v>7.09</v>
      </c>
      <c r="T175" s="140">
        <v>0.11</v>
      </c>
      <c r="U175" s="140">
        <v>5.4</v>
      </c>
      <c r="V175" s="140">
        <v>0.8</v>
      </c>
      <c r="W175" s="274" t="s">
        <v>185</v>
      </c>
      <c r="X175" s="137">
        <v>3882</v>
      </c>
      <c r="Y175" s="115">
        <v>90.2</v>
      </c>
      <c r="Z175" s="112">
        <v>2.03</v>
      </c>
      <c r="AA175" s="141">
        <v>267.3</v>
      </c>
      <c r="AB175" s="141">
        <v>4103</v>
      </c>
      <c r="AC175" s="112">
        <v>16.93</v>
      </c>
      <c r="AD175" s="112">
        <v>4.97</v>
      </c>
      <c r="AE175" s="140">
        <v>11.96</v>
      </c>
      <c r="AF175" s="140">
        <v>16.93</v>
      </c>
      <c r="AG175" s="140">
        <v>16.93</v>
      </c>
      <c r="AH175" s="137">
        <v>453876000</v>
      </c>
      <c r="AI175" s="137">
        <v>246470000</v>
      </c>
      <c r="AJ175" s="137">
        <v>207406000</v>
      </c>
      <c r="AK175" s="137">
        <v>373958000</v>
      </c>
      <c r="AL175" s="137">
        <v>79918000</v>
      </c>
      <c r="AM175" s="137">
        <v>183626000</v>
      </c>
      <c r="AN175" s="137">
        <v>174506000</v>
      </c>
      <c r="AO175" s="137">
        <v>15826000</v>
      </c>
      <c r="AP175" s="272"/>
      <c r="AQ175" s="137">
        <v>62844000</v>
      </c>
      <c r="AR175" s="137">
        <v>17074000</v>
      </c>
      <c r="AS175" s="137">
        <v>465600000</v>
      </c>
      <c r="AT175" s="142">
        <v>645755000</v>
      </c>
      <c r="AU175" s="137">
        <v>562111000</v>
      </c>
      <c r="AV175" s="137">
        <v>83644000</v>
      </c>
      <c r="AW175" s="137"/>
      <c r="AX175" s="137">
        <v>126487000</v>
      </c>
      <c r="AY175" s="137">
        <v>105239000</v>
      </c>
      <c r="AZ175" s="272" t="s">
        <v>185</v>
      </c>
      <c r="BA175" s="115">
        <v>45901488</v>
      </c>
      <c r="BB175" s="137">
        <v>33709531</v>
      </c>
      <c r="BC175" s="137">
        <v>5868397</v>
      </c>
      <c r="BD175" s="137">
        <v>6323560</v>
      </c>
      <c r="BE175" s="251">
        <v>0</v>
      </c>
      <c r="BF175" s="115">
        <v>257448159</v>
      </c>
      <c r="BG175" s="272" t="s">
        <v>184</v>
      </c>
      <c r="BH175" s="272">
        <v>250</v>
      </c>
      <c r="BI175" s="188"/>
    </row>
    <row r="176" spans="1:61" ht="15" customHeight="1">
      <c r="A176" s="135">
        <v>2005</v>
      </c>
      <c r="B176" s="274" t="s">
        <v>268</v>
      </c>
      <c r="C176" s="274" t="s">
        <v>267</v>
      </c>
      <c r="D176" s="137">
        <v>103.82</v>
      </c>
      <c r="E176" s="303">
        <v>1</v>
      </c>
      <c r="F176" s="135">
        <v>711</v>
      </c>
      <c r="G176" s="274" t="s">
        <v>186</v>
      </c>
      <c r="H176" s="274" t="s">
        <v>187</v>
      </c>
      <c r="I176" s="115">
        <v>103.82</v>
      </c>
      <c r="J176" s="137">
        <v>95.86</v>
      </c>
      <c r="K176" s="139">
        <v>7.96</v>
      </c>
      <c r="L176" s="139">
        <v>3.6</v>
      </c>
      <c r="M176" s="139">
        <v>0.66</v>
      </c>
      <c r="N176" s="137">
        <v>442.2</v>
      </c>
      <c r="O176" s="140">
        <v>23.81</v>
      </c>
      <c r="P176" s="140">
        <v>1.1</v>
      </c>
      <c r="Q176" s="140">
        <v>13.3</v>
      </c>
      <c r="R176" s="140">
        <v>6.87</v>
      </c>
      <c r="S176" s="140">
        <v>6.77</v>
      </c>
      <c r="T176" s="140">
        <v>0.11</v>
      </c>
      <c r="U176" s="140">
        <v>5.6</v>
      </c>
      <c r="V176" s="140">
        <v>0.83</v>
      </c>
      <c r="W176" s="274" t="s">
        <v>185</v>
      </c>
      <c r="X176" s="137">
        <v>4074</v>
      </c>
      <c r="Y176" s="115">
        <v>91.61</v>
      </c>
      <c r="Z176" s="112">
        <v>2.08</v>
      </c>
      <c r="AA176" s="141">
        <v>267.3</v>
      </c>
      <c r="AB176" s="141">
        <v>4238</v>
      </c>
      <c r="AC176" s="112">
        <v>16.66</v>
      </c>
      <c r="AD176" s="112">
        <v>6.19</v>
      </c>
      <c r="AE176" s="140">
        <v>10.47</v>
      </c>
      <c r="AF176" s="140">
        <v>16.66</v>
      </c>
      <c r="AG176" s="140">
        <v>16.66</v>
      </c>
      <c r="AH176" s="137">
        <v>458976000</v>
      </c>
      <c r="AI176" s="137">
        <v>256201000</v>
      </c>
      <c r="AJ176" s="137">
        <v>202775000</v>
      </c>
      <c r="AK176" s="137">
        <v>363100000</v>
      </c>
      <c r="AL176" s="137">
        <v>95876000</v>
      </c>
      <c r="AM176" s="137">
        <v>177700000</v>
      </c>
      <c r="AN176" s="137">
        <v>173260000</v>
      </c>
      <c r="AO176" s="137">
        <v>12140000</v>
      </c>
      <c r="AP176" s="272"/>
      <c r="AQ176" s="137">
        <v>78501000</v>
      </c>
      <c r="AR176" s="137">
        <v>17375000</v>
      </c>
      <c r="AS176" s="137">
        <v>494400000</v>
      </c>
      <c r="AT176" s="142">
        <v>711638000</v>
      </c>
      <c r="AU176" s="137">
        <v>605713000</v>
      </c>
      <c r="AV176" s="137">
        <v>105925000</v>
      </c>
      <c r="AW176" s="137"/>
      <c r="AX176" s="137">
        <v>146211000</v>
      </c>
      <c r="AY176" s="137">
        <v>115714000</v>
      </c>
      <c r="AZ176" s="272" t="s">
        <v>185</v>
      </c>
      <c r="BA176" s="115">
        <v>29156082</v>
      </c>
      <c r="BB176" s="137">
        <v>20077871</v>
      </c>
      <c r="BC176" s="137">
        <v>4927337</v>
      </c>
      <c r="BD176" s="137">
        <v>4150874</v>
      </c>
      <c r="BE176" s="252"/>
      <c r="BF176" s="115">
        <v>302751966</v>
      </c>
      <c r="BG176" s="272" t="s">
        <v>184</v>
      </c>
      <c r="BH176" s="272">
        <v>250</v>
      </c>
      <c r="BI176" s="188"/>
    </row>
    <row r="177" spans="1:61" ht="15" customHeight="1">
      <c r="A177" s="135">
        <v>2006</v>
      </c>
      <c r="B177" s="274" t="s">
        <v>266</v>
      </c>
      <c r="C177" s="274" t="s">
        <v>267</v>
      </c>
      <c r="D177" s="137">
        <v>106.32</v>
      </c>
      <c r="E177" s="303">
        <v>1</v>
      </c>
      <c r="F177" s="135">
        <v>701</v>
      </c>
      <c r="G177" s="274" t="s">
        <v>186</v>
      </c>
      <c r="H177" s="274" t="s">
        <v>187</v>
      </c>
      <c r="I177" s="115">
        <v>106.32</v>
      </c>
      <c r="J177" s="137">
        <v>99.2</v>
      </c>
      <c r="K177" s="139">
        <v>7.12</v>
      </c>
      <c r="L177" s="139">
        <v>4.06</v>
      </c>
      <c r="M177" s="139">
        <v>0.69</v>
      </c>
      <c r="N177" s="137">
        <v>442.2</v>
      </c>
      <c r="O177" s="140">
        <v>26.09</v>
      </c>
      <c r="P177" s="140">
        <v>1.1</v>
      </c>
      <c r="Q177" s="140">
        <v>13.9</v>
      </c>
      <c r="R177" s="140">
        <v>7.15</v>
      </c>
      <c r="S177" s="140">
        <v>7.05</v>
      </c>
      <c r="T177" s="140">
        <v>0.1</v>
      </c>
      <c r="U177" s="140">
        <v>5.8</v>
      </c>
      <c r="V177" s="140">
        <v>0.95</v>
      </c>
      <c r="W177" s="274" t="s">
        <v>185</v>
      </c>
      <c r="X177" s="137">
        <v>4180</v>
      </c>
      <c r="Y177" s="115">
        <v>93.33</v>
      </c>
      <c r="Z177" s="112">
        <v>2.24</v>
      </c>
      <c r="AA177" s="141">
        <v>267.3</v>
      </c>
      <c r="AB177" s="141">
        <v>4247</v>
      </c>
      <c r="AC177" s="112">
        <v>16.94</v>
      </c>
      <c r="AD177" s="112">
        <v>6.23</v>
      </c>
      <c r="AE177" s="140">
        <v>10.71</v>
      </c>
      <c r="AF177" s="140">
        <v>16.94</v>
      </c>
      <c r="AG177" s="140">
        <v>16.94</v>
      </c>
      <c r="AH177" s="137">
        <v>476575000</v>
      </c>
      <c r="AI177" s="137">
        <v>267083000</v>
      </c>
      <c r="AJ177" s="137">
        <v>209492000</v>
      </c>
      <c r="AK177" s="137">
        <v>382189000</v>
      </c>
      <c r="AL177" s="137">
        <v>94386000</v>
      </c>
      <c r="AM177" s="137">
        <v>189351000</v>
      </c>
      <c r="AN177" s="137">
        <v>181918000</v>
      </c>
      <c r="AO177" s="137">
        <v>10920000</v>
      </c>
      <c r="AP177" s="272"/>
      <c r="AQ177" s="137">
        <v>77732000</v>
      </c>
      <c r="AR177" s="137">
        <v>16654000</v>
      </c>
      <c r="AS177" s="137">
        <v>521800000</v>
      </c>
      <c r="AT177" s="142">
        <v>826191000</v>
      </c>
      <c r="AU177" s="137">
        <v>700135000</v>
      </c>
      <c r="AV177" s="137">
        <v>126056000</v>
      </c>
      <c r="AW177" s="137"/>
      <c r="AX177" s="137">
        <v>159903000</v>
      </c>
      <c r="AY177" s="137">
        <v>140367000</v>
      </c>
      <c r="AZ177" s="272" t="s">
        <v>185</v>
      </c>
      <c r="BA177" s="115">
        <v>56075256</v>
      </c>
      <c r="BB177" s="137">
        <v>17048958</v>
      </c>
      <c r="BC177" s="137">
        <v>4637765</v>
      </c>
      <c r="BD177" s="137">
        <v>34388533</v>
      </c>
      <c r="BE177" s="253"/>
      <c r="BF177" s="115">
        <v>327570017</v>
      </c>
      <c r="BG177" s="272" t="s">
        <v>184</v>
      </c>
      <c r="BH177" s="272">
        <v>250</v>
      </c>
      <c r="BI177" s="188"/>
    </row>
    <row r="178" spans="1:61" ht="15" customHeight="1">
      <c r="A178" s="143">
        <v>2007</v>
      </c>
      <c r="B178" s="274" t="s">
        <v>266</v>
      </c>
      <c r="C178" s="274" t="s">
        <v>267</v>
      </c>
      <c r="D178" s="144">
        <v>107.47</v>
      </c>
      <c r="E178" s="303">
        <v>1</v>
      </c>
      <c r="F178" s="143">
        <v>674</v>
      </c>
      <c r="G178" s="274" t="s">
        <v>186</v>
      </c>
      <c r="H178" s="274" t="s">
        <v>187</v>
      </c>
      <c r="I178" s="120">
        <v>107.47</v>
      </c>
      <c r="J178" s="144">
        <v>101.33</v>
      </c>
      <c r="K178" s="145">
        <v>6.14</v>
      </c>
      <c r="L178" s="145">
        <v>4.41</v>
      </c>
      <c r="M178" s="145">
        <v>0.77</v>
      </c>
      <c r="N178" s="144">
        <v>442.2</v>
      </c>
      <c r="O178" s="146">
        <v>26.37</v>
      </c>
      <c r="P178" s="146">
        <v>1.6</v>
      </c>
      <c r="Q178" s="146">
        <v>14.7</v>
      </c>
      <c r="R178" s="146">
        <v>7.19</v>
      </c>
      <c r="S178" s="146">
        <v>7.09</v>
      </c>
      <c r="T178" s="146">
        <v>0.1</v>
      </c>
      <c r="U178" s="146">
        <v>5.9</v>
      </c>
      <c r="V178" s="140">
        <v>1.61</v>
      </c>
      <c r="W178" s="274" t="s">
        <v>185</v>
      </c>
      <c r="X178" s="137">
        <v>5062</v>
      </c>
      <c r="Y178" s="115">
        <v>95.56</v>
      </c>
      <c r="Z178" s="112">
        <v>2.46</v>
      </c>
      <c r="AA178" s="138">
        <v>267.3</v>
      </c>
      <c r="AB178" s="138">
        <v>3976</v>
      </c>
      <c r="AC178" s="112">
        <v>19.05</v>
      </c>
      <c r="AD178" s="112">
        <v>6.24</v>
      </c>
      <c r="AE178" s="140">
        <v>12.81</v>
      </c>
      <c r="AF178" s="140">
        <v>19.05</v>
      </c>
      <c r="AG178" s="140">
        <v>19.05</v>
      </c>
      <c r="AH178" s="137">
        <v>514296000</v>
      </c>
      <c r="AI178" s="137">
        <v>293495000</v>
      </c>
      <c r="AJ178" s="137">
        <v>220801000</v>
      </c>
      <c r="AK178" s="137">
        <v>417170000</v>
      </c>
      <c r="AL178" s="137">
        <v>97126000</v>
      </c>
      <c r="AM178" s="137">
        <v>212920000</v>
      </c>
      <c r="AN178" s="137">
        <v>194773000</v>
      </c>
      <c r="AO178" s="137">
        <v>9477000</v>
      </c>
      <c r="AP178" s="272"/>
      <c r="AQ178" s="137">
        <v>80575000</v>
      </c>
      <c r="AR178" s="137">
        <v>16551000</v>
      </c>
      <c r="AS178" s="137">
        <v>596100000</v>
      </c>
      <c r="AT178" s="142">
        <v>861767000</v>
      </c>
      <c r="AU178" s="137">
        <v>731811000</v>
      </c>
      <c r="AV178" s="137">
        <v>129956000</v>
      </c>
      <c r="AW178" s="137"/>
      <c r="AX178" s="137">
        <v>163373000</v>
      </c>
      <c r="AY178" s="137">
        <v>190402000</v>
      </c>
      <c r="AZ178" s="272" t="s">
        <v>185</v>
      </c>
      <c r="BA178" s="115">
        <v>96643071</v>
      </c>
      <c r="BB178" s="137">
        <v>58804880</v>
      </c>
      <c r="BC178" s="137">
        <v>11091012</v>
      </c>
      <c r="BD178" s="137">
        <v>26747179</v>
      </c>
      <c r="BE178" s="115">
        <v>421897</v>
      </c>
      <c r="BF178" s="115">
        <v>406210012</v>
      </c>
      <c r="BG178" s="272" t="s">
        <v>184</v>
      </c>
      <c r="BH178" s="272">
        <v>250</v>
      </c>
      <c r="BI178" s="188"/>
    </row>
    <row r="179" spans="1:61" ht="15" customHeight="1" thickBot="1">
      <c r="A179" s="124">
        <v>2008</v>
      </c>
      <c r="B179" s="274" t="s">
        <v>266</v>
      </c>
      <c r="C179" s="274" t="s">
        <v>267</v>
      </c>
      <c r="D179" s="127">
        <v>107.95</v>
      </c>
      <c r="E179" s="304">
        <v>1</v>
      </c>
      <c r="F179" s="124">
        <v>655</v>
      </c>
      <c r="G179" s="274" t="s">
        <v>186</v>
      </c>
      <c r="H179" s="274" t="s">
        <v>187</v>
      </c>
      <c r="I179" s="120">
        <v>107.95</v>
      </c>
      <c r="J179" s="120">
        <v>102.25</v>
      </c>
      <c r="K179" s="122">
        <v>5.7</v>
      </c>
      <c r="L179" s="145">
        <v>4.41</v>
      </c>
      <c r="M179" s="165"/>
      <c r="N179" s="123">
        <v>305.6</v>
      </c>
      <c r="O179" s="149">
        <v>25.38</v>
      </c>
      <c r="P179" s="146">
        <v>1.6</v>
      </c>
      <c r="Q179" s="149">
        <v>16.5</v>
      </c>
      <c r="R179" s="146">
        <v>7.7</v>
      </c>
      <c r="S179" s="146">
        <v>7.59</v>
      </c>
      <c r="T179" s="146">
        <v>0.11</v>
      </c>
      <c r="U179" s="146">
        <v>7.5</v>
      </c>
      <c r="V179" s="140">
        <v>1.3</v>
      </c>
      <c r="W179" s="274" t="s">
        <v>185</v>
      </c>
      <c r="X179" s="137">
        <v>5611</v>
      </c>
      <c r="Y179" s="123">
        <v>98.7</v>
      </c>
      <c r="Z179" s="149">
        <v>2.54</v>
      </c>
      <c r="AA179" s="138">
        <v>291.1</v>
      </c>
      <c r="AB179" s="123">
        <v>3408</v>
      </c>
      <c r="AC179" s="149">
        <v>19.64</v>
      </c>
      <c r="AD179" s="149">
        <v>6.42</v>
      </c>
      <c r="AE179" s="149">
        <v>13.22</v>
      </c>
      <c r="AF179" s="149">
        <v>19.64</v>
      </c>
      <c r="AG179" s="149">
        <v>19.64</v>
      </c>
      <c r="AH179" s="137">
        <v>435324095</v>
      </c>
      <c r="AI179" s="137">
        <v>255607828</v>
      </c>
      <c r="AJ179" s="137">
        <v>179716267</v>
      </c>
      <c r="AK179" s="137">
        <v>335348012</v>
      </c>
      <c r="AL179" s="137">
        <v>99976083</v>
      </c>
      <c r="AM179" s="137">
        <v>179261764</v>
      </c>
      <c r="AN179" s="137">
        <v>147986556</v>
      </c>
      <c r="AO179" s="137">
        <v>8099692</v>
      </c>
      <c r="AP179" s="272"/>
      <c r="AQ179" s="142">
        <v>82662606</v>
      </c>
      <c r="AR179" s="142">
        <v>17313477</v>
      </c>
      <c r="AS179" s="142">
        <v>577439743</v>
      </c>
      <c r="AT179" s="142">
        <v>876557045</v>
      </c>
      <c r="AU179" s="142">
        <v>724249000</v>
      </c>
      <c r="AV179" s="142">
        <v>152308000</v>
      </c>
      <c r="AW179" s="142"/>
      <c r="AX179" s="142">
        <v>205182000</v>
      </c>
      <c r="AY179" s="142">
        <v>178084000</v>
      </c>
      <c r="AZ179" s="272" t="s">
        <v>185</v>
      </c>
      <c r="BA179" s="142">
        <v>64243677</v>
      </c>
      <c r="BB179" s="142">
        <v>49291293</v>
      </c>
      <c r="BC179" s="142">
        <v>14604019</v>
      </c>
      <c r="BD179" s="142">
        <v>348365</v>
      </c>
      <c r="BE179" s="125">
        <v>1146985</v>
      </c>
      <c r="BF179" s="123">
        <v>393058827</v>
      </c>
      <c r="BG179" s="272" t="s">
        <v>184</v>
      </c>
      <c r="BH179" s="272">
        <v>250</v>
      </c>
      <c r="BI179" s="188"/>
    </row>
    <row r="180" spans="1:61" ht="15" customHeight="1">
      <c r="A180" s="143">
        <v>2009</v>
      </c>
      <c r="B180" s="274" t="s">
        <v>269</v>
      </c>
      <c r="C180" s="274" t="s">
        <v>267</v>
      </c>
      <c r="D180" s="144">
        <v>125.68</v>
      </c>
      <c r="E180" s="276">
        <v>7</v>
      </c>
      <c r="F180" s="143">
        <v>824</v>
      </c>
      <c r="G180" s="274" t="s">
        <v>186</v>
      </c>
      <c r="H180" s="274" t="s">
        <v>187</v>
      </c>
      <c r="I180" s="144">
        <v>127.68</v>
      </c>
      <c r="J180" s="144">
        <v>122.53</v>
      </c>
      <c r="K180" s="145">
        <v>5.15</v>
      </c>
      <c r="L180" s="145">
        <v>4.59</v>
      </c>
      <c r="M180" s="145">
        <v>1.141</v>
      </c>
      <c r="N180" s="144">
        <v>534.6</v>
      </c>
      <c r="O180" s="146">
        <v>26.52</v>
      </c>
      <c r="P180" s="146">
        <v>10.16</v>
      </c>
      <c r="Q180" s="146">
        <v>16.68</v>
      </c>
      <c r="R180" s="146">
        <v>7.94</v>
      </c>
      <c r="S180" s="146">
        <v>7.7</v>
      </c>
      <c r="T180" s="146">
        <v>0.24</v>
      </c>
      <c r="U180" s="146">
        <v>7.5</v>
      </c>
      <c r="V180" s="146">
        <v>0.898</v>
      </c>
      <c r="W180" s="274" t="s">
        <v>185</v>
      </c>
      <c r="X180" s="144">
        <v>2560</v>
      </c>
      <c r="Y180" s="144">
        <v>116.74</v>
      </c>
      <c r="Z180" s="146">
        <v>2.134</v>
      </c>
      <c r="AA180" s="141">
        <v>299.74</v>
      </c>
      <c r="AB180" s="141">
        <v>2630</v>
      </c>
      <c r="AC180" s="146">
        <v>19.5</v>
      </c>
      <c r="AD180" s="146">
        <v>6.9</v>
      </c>
      <c r="AE180" s="146">
        <v>13.02</v>
      </c>
      <c r="AF180" s="146">
        <v>19.3</v>
      </c>
      <c r="AG180" s="146">
        <v>19.3</v>
      </c>
      <c r="AH180" s="144">
        <f>755626339+3230955+9437951+4023955+94381.36+23324129.38</f>
        <v>795737710.74</v>
      </c>
      <c r="AI180" s="144">
        <f>342402297+3230955+4023955</f>
        <v>349657207</v>
      </c>
      <c r="AJ180" s="144">
        <f>413224042+9437951+94381.36+23324129</f>
        <v>446080503.36</v>
      </c>
      <c r="AK180" s="144">
        <f>637879632+3230955+32405111+167228</f>
        <v>673682926</v>
      </c>
      <c r="AL180" s="144">
        <f>117746707+4023955+284123</f>
        <v>122054785</v>
      </c>
      <c r="AM180" s="144">
        <f>250090521+3230955</f>
        <v>253321476</v>
      </c>
      <c r="AN180" s="144">
        <f>351157337+32405111+167228</f>
        <v>383729676</v>
      </c>
      <c r="AO180" s="144">
        <f>36631774</f>
        <v>36631774</v>
      </c>
      <c r="AP180" s="272"/>
      <c r="AQ180" s="144">
        <f>92311776+4023955</f>
        <v>96335731</v>
      </c>
      <c r="AR180" s="144">
        <f>25434931+284123</f>
        <v>25719054</v>
      </c>
      <c r="AS180" s="144">
        <v>787780333</v>
      </c>
      <c r="AT180" s="147">
        <f>AU180+AV180</f>
        <v>917049410</v>
      </c>
      <c r="AU180" s="144">
        <f>730122441+10213995+3905443</f>
        <v>744241879</v>
      </c>
      <c r="AV180" s="144">
        <f>170548008+1404522+855001</f>
        <v>172807531</v>
      </c>
      <c r="AW180" s="144"/>
      <c r="AX180" s="144">
        <f>1182437+35275813+4832066+237340+342.45+12054+7985.3+43236363+31575102+34683109+832979+14615269+21096021+6986635+3743283+5690534+6728793+15831869+48645117+3853683.17+1555404+726088</f>
        <v>281348286.92</v>
      </c>
      <c r="AY180" s="144">
        <f>177217255+61828253+265032+3950.94+550983.48+292903.5+71915.98+11554.97</f>
        <v>240241848.86999997</v>
      </c>
      <c r="AZ180" s="272" t="s">
        <v>185</v>
      </c>
      <c r="BA180" s="144">
        <f>312425605+17342297</f>
        <v>329767902</v>
      </c>
      <c r="BB180" s="144">
        <f>128324516+4742546</f>
        <v>133067062</v>
      </c>
      <c r="BC180" s="144">
        <f>69982153+6236903</f>
        <v>76219056</v>
      </c>
      <c r="BD180" s="144">
        <f>114118935+6362849</f>
        <v>120481784</v>
      </c>
      <c r="BE180" s="144">
        <v>965500</v>
      </c>
      <c r="BF180" s="144">
        <f>547945385+1547199+10398882+1791010+60747.39+5062066</f>
        <v>566805289.39</v>
      </c>
      <c r="BG180" s="272" t="s">
        <v>184</v>
      </c>
      <c r="BH180" s="257">
        <v>275</v>
      </c>
      <c r="BI180" s="188">
        <v>43.37</v>
      </c>
    </row>
    <row r="181" spans="1:61" ht="15" customHeight="1">
      <c r="A181" s="124">
        <v>2010</v>
      </c>
      <c r="B181" s="275" t="s">
        <v>269</v>
      </c>
      <c r="C181" s="275" t="s">
        <v>267</v>
      </c>
      <c r="D181" s="127">
        <v>130.42</v>
      </c>
      <c r="E181" s="275">
        <v>7</v>
      </c>
      <c r="F181" s="124">
        <v>783</v>
      </c>
      <c r="G181" s="275" t="s">
        <v>186</v>
      </c>
      <c r="H181" s="275" t="s">
        <v>187</v>
      </c>
      <c r="I181" s="123">
        <v>130.35</v>
      </c>
      <c r="J181" s="123">
        <v>125.18</v>
      </c>
      <c r="K181" s="164">
        <v>5.17</v>
      </c>
      <c r="L181" s="164">
        <v>4.97</v>
      </c>
      <c r="M181" s="164">
        <v>2.16</v>
      </c>
      <c r="N181" s="123">
        <v>541.3</v>
      </c>
      <c r="O181" s="149">
        <v>23.19</v>
      </c>
      <c r="P181" s="149">
        <v>10.76</v>
      </c>
      <c r="Q181" s="149">
        <v>16.82</v>
      </c>
      <c r="R181" s="149">
        <v>8.51</v>
      </c>
      <c r="S181" s="149">
        <v>8.27</v>
      </c>
      <c r="T181" s="128">
        <v>0.24</v>
      </c>
      <c r="U181" s="149">
        <v>7.32</v>
      </c>
      <c r="V181" s="149">
        <v>0.956</v>
      </c>
      <c r="W181" s="275" t="s">
        <v>185</v>
      </c>
      <c r="X181" s="123">
        <v>2221</v>
      </c>
      <c r="Y181" s="123">
        <v>120.8</v>
      </c>
      <c r="Z181" s="149">
        <v>3.159</v>
      </c>
      <c r="AA181" s="123">
        <v>303.54</v>
      </c>
      <c r="AB181" s="123">
        <v>2868</v>
      </c>
      <c r="AC181" s="149">
        <v>15.8</v>
      </c>
      <c r="AD181" s="149">
        <v>6.5</v>
      </c>
      <c r="AE181" s="149">
        <v>9.95</v>
      </c>
      <c r="AF181" s="149">
        <v>15.6</v>
      </c>
      <c r="AG181" s="149">
        <v>15.6</v>
      </c>
      <c r="AH181" s="123">
        <f>1015674285+6257470+53456727+7126513+1156514</f>
        <v>1083671509</v>
      </c>
      <c r="AI181" s="123">
        <f>393565333+6257470+7126513</f>
        <v>406949316</v>
      </c>
      <c r="AJ181" s="127">
        <f>622108952+53456727+1156514</f>
        <v>676722193</v>
      </c>
      <c r="AK181" s="123">
        <f>860538878+6257470+53456727</f>
        <v>920253075</v>
      </c>
      <c r="AL181" s="127">
        <f>155135407+7126513+1156514</f>
        <v>163418434</v>
      </c>
      <c r="AM181" s="123">
        <f>298994131+6257470</f>
        <v>305251601</v>
      </c>
      <c r="AN181" s="123">
        <v>510406890</v>
      </c>
      <c r="AO181" s="123">
        <f>51137857+53456727</f>
        <v>104594584</v>
      </c>
      <c r="AP181" s="273"/>
      <c r="AQ181" s="127">
        <f>94571202+7126513</f>
        <v>101697715</v>
      </c>
      <c r="AR181" s="127">
        <f>60564205+1156514</f>
        <v>61720719</v>
      </c>
      <c r="AS181" s="123">
        <v>1061998078</v>
      </c>
      <c r="AT181" s="123">
        <f>AU181+AV181</f>
        <v>1118643805</v>
      </c>
      <c r="AU181" s="123">
        <f>877006102+32068199</f>
        <v>909074301</v>
      </c>
      <c r="AV181" s="123">
        <f>198219076+11350428</f>
        <v>209569504</v>
      </c>
      <c r="AW181" s="123"/>
      <c r="AX181" s="123">
        <f>84757545.43+289170014+8344077+4831705</f>
        <v>387103341.43</v>
      </c>
      <c r="AY181" s="123">
        <f>191799425+147770321+357755+11090+2146028-19282+396708+3191+624925</f>
        <v>343090161</v>
      </c>
      <c r="AZ181" s="273" t="s">
        <v>185</v>
      </c>
      <c r="BA181" s="127">
        <f>903834114+12695058</f>
        <v>916529172</v>
      </c>
      <c r="BB181" s="123">
        <f>742713532+4377747</f>
        <v>747091279</v>
      </c>
      <c r="BC181" s="123">
        <f>69013029+2661536</f>
        <v>71674565</v>
      </c>
      <c r="BD181" s="123">
        <f>92107553+5655775</f>
        <v>97763328</v>
      </c>
      <c r="BE181" s="123" t="s">
        <v>185</v>
      </c>
      <c r="BF181" s="123">
        <f>482939476+3007147+15916823+3026906+469961</f>
        <v>505360313</v>
      </c>
      <c r="BG181" s="123" t="s">
        <v>185</v>
      </c>
      <c r="BH181" s="273">
        <v>275</v>
      </c>
      <c r="BI181" s="188">
        <v>44.03</v>
      </c>
    </row>
    <row r="182" spans="1:60" s="74" customFormat="1" ht="6" customHeight="1" thickBot="1">
      <c r="A182" s="76"/>
      <c r="B182" s="81"/>
      <c r="C182" s="81"/>
      <c r="D182" s="75"/>
      <c r="E182" s="78"/>
      <c r="H182" s="82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4"/>
      <c r="U182" s="83"/>
      <c r="V182" s="83"/>
      <c r="W182" s="83"/>
      <c r="X182" s="78"/>
      <c r="Y182" s="83"/>
      <c r="Z182" s="83"/>
      <c r="AA182" s="83"/>
      <c r="AB182" s="78"/>
      <c r="AC182" s="83"/>
      <c r="AD182" s="83"/>
      <c r="AE182" s="83"/>
      <c r="AF182" s="83"/>
      <c r="AG182" s="83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85"/>
    </row>
    <row r="183" spans="1:61" ht="15" customHeight="1">
      <c r="A183" s="124">
        <v>2004</v>
      </c>
      <c r="B183" s="292" t="s">
        <v>270</v>
      </c>
      <c r="C183" s="292" t="s">
        <v>271</v>
      </c>
      <c r="D183" s="127">
        <v>109.6</v>
      </c>
      <c r="E183" s="233">
        <v>1</v>
      </c>
      <c r="F183" s="124">
        <v>430</v>
      </c>
      <c r="G183" s="254" t="s">
        <v>186</v>
      </c>
      <c r="H183" s="254" t="s">
        <v>187</v>
      </c>
      <c r="I183" s="126">
        <v>109.6</v>
      </c>
      <c r="J183" s="127">
        <v>81.8</v>
      </c>
      <c r="K183" s="150">
        <v>27.8</v>
      </c>
      <c r="L183" s="150">
        <v>1.8</v>
      </c>
      <c r="M183" s="150">
        <v>1.2</v>
      </c>
      <c r="N183" s="127">
        <v>280.9</v>
      </c>
      <c r="O183" s="128">
        <v>8.4</v>
      </c>
      <c r="P183" s="128">
        <v>1.6</v>
      </c>
      <c r="Q183" s="128">
        <v>4.6</v>
      </c>
      <c r="R183" s="128">
        <v>2.7</v>
      </c>
      <c r="S183" s="128">
        <v>2.2</v>
      </c>
      <c r="T183" s="128">
        <v>0.5</v>
      </c>
      <c r="U183" s="128">
        <v>0.9</v>
      </c>
      <c r="V183" s="128">
        <v>1</v>
      </c>
      <c r="W183" s="260" t="s">
        <v>185</v>
      </c>
      <c r="X183" s="127">
        <v>480</v>
      </c>
      <c r="Y183" s="126">
        <v>81.8</v>
      </c>
      <c r="Z183" s="129">
        <v>1.8</v>
      </c>
      <c r="AA183" s="130">
        <v>218.7</v>
      </c>
      <c r="AB183" s="130">
        <v>2260</v>
      </c>
      <c r="AC183" s="129">
        <v>3.6</v>
      </c>
      <c r="AD183" s="129">
        <v>2.3</v>
      </c>
      <c r="AE183" s="128">
        <v>1.3</v>
      </c>
      <c r="AF183" s="128">
        <v>3.6</v>
      </c>
      <c r="AG183" s="128">
        <v>3.6</v>
      </c>
      <c r="AH183" s="127">
        <v>164147203</v>
      </c>
      <c r="AI183" s="127">
        <v>100062345</v>
      </c>
      <c r="AJ183" s="127">
        <v>64084858</v>
      </c>
      <c r="AK183" s="127">
        <v>98646511</v>
      </c>
      <c r="AL183" s="127">
        <v>65500692</v>
      </c>
      <c r="AM183" s="127">
        <v>57638337</v>
      </c>
      <c r="AN183" s="127">
        <v>19921554</v>
      </c>
      <c r="AO183" s="127">
        <v>21086620</v>
      </c>
      <c r="AP183" s="248" t="s">
        <v>185</v>
      </c>
      <c r="AQ183" s="127">
        <v>42424008</v>
      </c>
      <c r="AR183" s="127">
        <v>23076684</v>
      </c>
      <c r="AS183" s="127">
        <v>153537520</v>
      </c>
      <c r="AT183" s="131">
        <v>210139359</v>
      </c>
      <c r="AU183" s="127">
        <v>125321126</v>
      </c>
      <c r="AV183" s="127">
        <v>64402113</v>
      </c>
      <c r="AW183" s="127">
        <v>20416120</v>
      </c>
      <c r="AX183" s="127">
        <v>56472700</v>
      </c>
      <c r="AY183" s="127">
        <v>40537100</v>
      </c>
      <c r="AZ183" s="127">
        <v>196774759</v>
      </c>
      <c r="BA183" s="126">
        <v>141170908</v>
      </c>
      <c r="BB183" s="127">
        <v>96055677</v>
      </c>
      <c r="BC183" s="127">
        <v>27134783</v>
      </c>
      <c r="BD183" s="127">
        <v>17980448</v>
      </c>
      <c r="BE183" s="126"/>
      <c r="BF183" s="126">
        <v>89730438</v>
      </c>
      <c r="BG183" s="248" t="s">
        <v>184</v>
      </c>
      <c r="BH183" s="248">
        <v>190</v>
      </c>
      <c r="BI183" s="109"/>
    </row>
    <row r="184" spans="1:61" ht="15" customHeight="1">
      <c r="A184" s="124">
        <v>2005</v>
      </c>
      <c r="B184" s="274" t="s">
        <v>270</v>
      </c>
      <c r="C184" s="274" t="s">
        <v>271</v>
      </c>
      <c r="D184" s="127">
        <v>113.1</v>
      </c>
      <c r="E184" s="272"/>
      <c r="F184" s="124">
        <v>436</v>
      </c>
      <c r="G184" s="274" t="s">
        <v>186</v>
      </c>
      <c r="H184" s="274" t="s">
        <v>187</v>
      </c>
      <c r="I184" s="126">
        <v>103.1</v>
      </c>
      <c r="J184" s="127">
        <v>84.4</v>
      </c>
      <c r="K184" s="150">
        <v>18.7</v>
      </c>
      <c r="L184" s="150">
        <v>2</v>
      </c>
      <c r="M184" s="150">
        <v>1.3</v>
      </c>
      <c r="N184" s="127">
        <v>325.6</v>
      </c>
      <c r="O184" s="128">
        <v>11</v>
      </c>
      <c r="P184" s="128">
        <v>1.5</v>
      </c>
      <c r="Q184" s="128">
        <v>4.6</v>
      </c>
      <c r="R184" s="128">
        <v>2.7</v>
      </c>
      <c r="S184" s="128">
        <v>2.35</v>
      </c>
      <c r="T184" s="128">
        <v>0.35</v>
      </c>
      <c r="U184" s="128">
        <v>0.8</v>
      </c>
      <c r="V184" s="128">
        <v>1.1</v>
      </c>
      <c r="W184" s="272"/>
      <c r="X184" s="127">
        <v>501</v>
      </c>
      <c r="Y184" s="126">
        <v>84.4</v>
      </c>
      <c r="Z184" s="129">
        <v>2.2</v>
      </c>
      <c r="AA184" s="130">
        <v>238.3</v>
      </c>
      <c r="AB184" s="130">
        <v>3468</v>
      </c>
      <c r="AC184" s="129">
        <v>3.7</v>
      </c>
      <c r="AD184" s="129">
        <v>2.4</v>
      </c>
      <c r="AE184" s="128">
        <v>1.3</v>
      </c>
      <c r="AF184" s="128">
        <v>3.7</v>
      </c>
      <c r="AG184" s="128">
        <v>3.7</v>
      </c>
      <c r="AH184" s="127">
        <v>167809781</v>
      </c>
      <c r="AI184" s="127">
        <v>103959798</v>
      </c>
      <c r="AJ184" s="127">
        <v>63849983</v>
      </c>
      <c r="AK184" s="127">
        <v>98181239</v>
      </c>
      <c r="AL184" s="127">
        <v>69628542</v>
      </c>
      <c r="AM184" s="127">
        <v>58563402</v>
      </c>
      <c r="AN184" s="127">
        <v>18937924</v>
      </c>
      <c r="AO184" s="127">
        <v>20679913</v>
      </c>
      <c r="AP184" s="308" t="s">
        <v>185</v>
      </c>
      <c r="AQ184" s="127">
        <v>45396396</v>
      </c>
      <c r="AR184" s="127">
        <v>24232146</v>
      </c>
      <c r="AS184" s="127">
        <v>172088216</v>
      </c>
      <c r="AT184" s="131">
        <v>304497114</v>
      </c>
      <c r="AU184" s="127">
        <v>154837345</v>
      </c>
      <c r="AV184" s="127">
        <v>125971452</v>
      </c>
      <c r="AW184" s="127">
        <v>23688317</v>
      </c>
      <c r="AX184" s="127">
        <v>110667325</v>
      </c>
      <c r="AY184" s="127">
        <v>67652816</v>
      </c>
      <c r="AZ184" s="127">
        <v>271196619</v>
      </c>
      <c r="BA184" s="126">
        <v>141083370</v>
      </c>
      <c r="BB184" s="127">
        <v>96028510</v>
      </c>
      <c r="BC184" s="127">
        <v>27133814</v>
      </c>
      <c r="BD184" s="127">
        <v>17921046</v>
      </c>
      <c r="BE184" s="126"/>
      <c r="BF184" s="126">
        <v>71095380</v>
      </c>
      <c r="BG184" s="308" t="s">
        <v>184</v>
      </c>
      <c r="BH184" s="308">
        <v>190</v>
      </c>
      <c r="BI184" s="109"/>
    </row>
    <row r="185" spans="1:61" ht="15" customHeight="1">
      <c r="A185" s="124">
        <v>2006</v>
      </c>
      <c r="B185" s="274" t="s">
        <v>270</v>
      </c>
      <c r="C185" s="274" t="s">
        <v>271</v>
      </c>
      <c r="D185" s="127">
        <v>115.9</v>
      </c>
      <c r="E185" s="272"/>
      <c r="F185" s="124">
        <v>401</v>
      </c>
      <c r="G185" s="274" t="s">
        <v>186</v>
      </c>
      <c r="H185" s="274" t="s">
        <v>187</v>
      </c>
      <c r="I185" s="126">
        <v>105.9</v>
      </c>
      <c r="J185" s="127">
        <v>86.9</v>
      </c>
      <c r="K185" s="150">
        <v>19</v>
      </c>
      <c r="L185" s="150">
        <v>2.8</v>
      </c>
      <c r="M185" s="150">
        <v>1.5</v>
      </c>
      <c r="N185" s="127">
        <v>307.02</v>
      </c>
      <c r="O185" s="128">
        <v>9</v>
      </c>
      <c r="P185" s="128">
        <v>1.7</v>
      </c>
      <c r="Q185" s="128">
        <v>4.6</v>
      </c>
      <c r="R185" s="128">
        <v>2.8</v>
      </c>
      <c r="S185" s="128">
        <v>2.36</v>
      </c>
      <c r="T185" s="128">
        <v>0.44</v>
      </c>
      <c r="U185" s="128">
        <v>0.7</v>
      </c>
      <c r="V185" s="128">
        <v>1.1</v>
      </c>
      <c r="W185" s="272"/>
      <c r="X185" s="127">
        <v>470</v>
      </c>
      <c r="Y185" s="126">
        <v>86.9</v>
      </c>
      <c r="Z185" s="129">
        <v>2.5</v>
      </c>
      <c r="AA185" s="130">
        <v>229.52</v>
      </c>
      <c r="AB185" s="130">
        <v>3238</v>
      </c>
      <c r="AC185" s="129">
        <v>3.8</v>
      </c>
      <c r="AD185" s="129">
        <v>2.5</v>
      </c>
      <c r="AE185" s="128">
        <v>1.3</v>
      </c>
      <c r="AF185" s="128">
        <v>3.8</v>
      </c>
      <c r="AG185" s="128">
        <v>3.8</v>
      </c>
      <c r="AH185" s="127">
        <v>185308164</v>
      </c>
      <c r="AI185" s="127">
        <v>117466770</v>
      </c>
      <c r="AJ185" s="127">
        <v>67841394</v>
      </c>
      <c r="AK185" s="127">
        <v>108736793</v>
      </c>
      <c r="AL185" s="127">
        <v>76571371</v>
      </c>
      <c r="AM185" s="127">
        <v>66621641</v>
      </c>
      <c r="AN185" s="127">
        <v>12531512</v>
      </c>
      <c r="AO185" s="127">
        <v>29583640</v>
      </c>
      <c r="AP185" s="308" t="s">
        <v>185</v>
      </c>
      <c r="AQ185" s="127">
        <v>50845129</v>
      </c>
      <c r="AR185" s="127">
        <v>25726242</v>
      </c>
      <c r="AS185" s="127">
        <v>205222136</v>
      </c>
      <c r="AT185" s="131">
        <v>304323186</v>
      </c>
      <c r="AU185" s="127">
        <v>145179338</v>
      </c>
      <c r="AV185" s="127">
        <v>123202448</v>
      </c>
      <c r="AW185" s="127">
        <v>35941400</v>
      </c>
      <c r="AX185" s="127">
        <v>107224100</v>
      </c>
      <c r="AY185" s="127">
        <v>69820113</v>
      </c>
      <c r="AZ185" s="127">
        <v>262829000</v>
      </c>
      <c r="BA185" s="126">
        <v>168675228</v>
      </c>
      <c r="BB185" s="127">
        <v>95747261</v>
      </c>
      <c r="BC185" s="127">
        <v>21290191</v>
      </c>
      <c r="BD185" s="127">
        <v>51637776</v>
      </c>
      <c r="BE185" s="126"/>
      <c r="BF185" s="126">
        <v>61393492</v>
      </c>
      <c r="BG185" s="308" t="s">
        <v>184</v>
      </c>
      <c r="BH185" s="308">
        <v>190</v>
      </c>
      <c r="BI185" s="109"/>
    </row>
    <row r="186" spans="1:61" ht="15" customHeight="1">
      <c r="A186" s="124">
        <v>2007</v>
      </c>
      <c r="B186" s="274" t="s">
        <v>270</v>
      </c>
      <c r="C186" s="274" t="s">
        <v>271</v>
      </c>
      <c r="D186" s="127">
        <v>116.8</v>
      </c>
      <c r="E186" s="272"/>
      <c r="F186" s="124">
        <v>382</v>
      </c>
      <c r="G186" s="274" t="s">
        <v>186</v>
      </c>
      <c r="H186" s="274" t="s">
        <v>187</v>
      </c>
      <c r="I186" s="126">
        <v>106.8</v>
      </c>
      <c r="J186" s="127">
        <v>87.7</v>
      </c>
      <c r="K186" s="150">
        <v>19.1</v>
      </c>
      <c r="L186" s="150">
        <v>3.2</v>
      </c>
      <c r="M186" s="150">
        <v>1.8</v>
      </c>
      <c r="N186" s="127">
        <v>307.4</v>
      </c>
      <c r="O186" s="128">
        <v>9.3</v>
      </c>
      <c r="P186" s="128">
        <v>1.7</v>
      </c>
      <c r="Q186" s="128">
        <v>4.9</v>
      </c>
      <c r="R186" s="128">
        <v>3</v>
      </c>
      <c r="S186" s="128">
        <v>2.35</v>
      </c>
      <c r="T186" s="128">
        <v>0.65</v>
      </c>
      <c r="U186" s="128">
        <v>0.7</v>
      </c>
      <c r="V186" s="128">
        <v>1.2</v>
      </c>
      <c r="W186" s="272"/>
      <c r="X186" s="127">
        <v>402</v>
      </c>
      <c r="Y186" s="126">
        <v>87.8</v>
      </c>
      <c r="Z186" s="129">
        <v>3</v>
      </c>
      <c r="AA186" s="123">
        <v>230.52</v>
      </c>
      <c r="AB186" s="123">
        <v>3520</v>
      </c>
      <c r="AC186" s="129">
        <v>4</v>
      </c>
      <c r="AD186" s="129">
        <v>2.7</v>
      </c>
      <c r="AE186" s="128">
        <v>1.3</v>
      </c>
      <c r="AF186" s="128">
        <v>4</v>
      </c>
      <c r="AG186" s="128">
        <v>4</v>
      </c>
      <c r="AH186" s="127">
        <v>205595280</v>
      </c>
      <c r="AI186" s="127">
        <v>132934924</v>
      </c>
      <c r="AJ186" s="127">
        <v>72660356</v>
      </c>
      <c r="AK186" s="127">
        <v>121640449</v>
      </c>
      <c r="AL186" s="127">
        <v>83954831</v>
      </c>
      <c r="AM186" s="127">
        <v>76096634</v>
      </c>
      <c r="AN186" s="127">
        <v>14302929</v>
      </c>
      <c r="AO186" s="127">
        <v>31240886</v>
      </c>
      <c r="AP186" s="308" t="s">
        <v>185</v>
      </c>
      <c r="AQ186" s="127">
        <v>56838290</v>
      </c>
      <c r="AR186" s="127">
        <v>27116541</v>
      </c>
      <c r="AS186" s="127">
        <v>250853098</v>
      </c>
      <c r="AT186" s="131">
        <v>338901514</v>
      </c>
      <c r="AU186" s="127">
        <v>179703186</v>
      </c>
      <c r="AV186" s="127">
        <v>128036128</v>
      </c>
      <c r="AW186" s="127">
        <v>31162200</v>
      </c>
      <c r="AX186" s="127">
        <v>118214816</v>
      </c>
      <c r="AY186" s="127">
        <v>74139216</v>
      </c>
      <c r="AZ186" s="127">
        <v>300154570</v>
      </c>
      <c r="BA186" s="126">
        <v>151862571</v>
      </c>
      <c r="BB186" s="127">
        <v>95871836</v>
      </c>
      <c r="BC186" s="127">
        <v>21453814</v>
      </c>
      <c r="BD186" s="127">
        <v>34536921</v>
      </c>
      <c r="BE186" s="126"/>
      <c r="BF186" s="126">
        <v>54126367</v>
      </c>
      <c r="BG186" s="308" t="s">
        <v>184</v>
      </c>
      <c r="BH186" s="308">
        <v>190</v>
      </c>
      <c r="BI186" s="109"/>
    </row>
    <row r="187" spans="1:61" ht="15" customHeight="1">
      <c r="A187" s="124">
        <v>2008</v>
      </c>
      <c r="B187" s="274" t="s">
        <v>270</v>
      </c>
      <c r="C187" s="274" t="s">
        <v>271</v>
      </c>
      <c r="D187" s="127">
        <v>120.37</v>
      </c>
      <c r="E187" s="272"/>
      <c r="F187" s="124">
        <v>393</v>
      </c>
      <c r="G187" s="274" t="s">
        <v>186</v>
      </c>
      <c r="H187" s="274" t="s">
        <v>187</v>
      </c>
      <c r="I187" s="126">
        <v>106.27</v>
      </c>
      <c r="J187" s="127">
        <v>106.27</v>
      </c>
      <c r="K187" s="150">
        <v>19.1</v>
      </c>
      <c r="L187" s="150">
        <v>3.2</v>
      </c>
      <c r="M187" s="150">
        <v>2.2</v>
      </c>
      <c r="N187" s="127">
        <v>312.64</v>
      </c>
      <c r="O187" s="128">
        <v>9.91</v>
      </c>
      <c r="P187" s="128">
        <v>3.43</v>
      </c>
      <c r="Q187" s="128">
        <v>5</v>
      </c>
      <c r="R187" s="128">
        <v>5</v>
      </c>
      <c r="S187" s="128">
        <v>4.7</v>
      </c>
      <c r="T187" s="128">
        <v>0.29</v>
      </c>
      <c r="U187" s="128">
        <v>0.61</v>
      </c>
      <c r="V187" s="128">
        <v>0.95</v>
      </c>
      <c r="W187" s="272"/>
      <c r="X187" s="127">
        <v>371</v>
      </c>
      <c r="Y187" s="127">
        <v>89</v>
      </c>
      <c r="Z187" s="129">
        <v>3.6</v>
      </c>
      <c r="AA187" s="123">
        <v>235.43</v>
      </c>
      <c r="AB187" s="123">
        <v>3107</v>
      </c>
      <c r="AC187" s="129">
        <v>4.07</v>
      </c>
      <c r="AD187" s="129">
        <v>2.77</v>
      </c>
      <c r="AE187" s="128">
        <v>1.3</v>
      </c>
      <c r="AF187" s="129">
        <v>4.07</v>
      </c>
      <c r="AG187" s="129">
        <v>4.07</v>
      </c>
      <c r="AH187" s="127">
        <v>240112518</v>
      </c>
      <c r="AI187" s="127">
        <v>155923278</v>
      </c>
      <c r="AJ187" s="127">
        <v>84189240</v>
      </c>
      <c r="AK187" s="127">
        <v>142176511</v>
      </c>
      <c r="AL187" s="127">
        <v>97966007</v>
      </c>
      <c r="AM187" s="127">
        <v>89258831</v>
      </c>
      <c r="AN187" s="127">
        <v>20640110</v>
      </c>
      <c r="AO187" s="127">
        <v>32247570</v>
      </c>
      <c r="AP187" s="308" t="s">
        <v>185</v>
      </c>
      <c r="AQ187" s="127">
        <v>66664447</v>
      </c>
      <c r="AR187" s="127">
        <v>31301560</v>
      </c>
      <c r="AS187" s="127">
        <v>270698472</v>
      </c>
      <c r="AT187" s="131">
        <v>406961450</v>
      </c>
      <c r="AU187" s="127">
        <v>237830290</v>
      </c>
      <c r="AV187" s="127">
        <v>169131160</v>
      </c>
      <c r="AW187" s="127">
        <v>53325290</v>
      </c>
      <c r="AX187" s="127">
        <v>134899547</v>
      </c>
      <c r="AY187" s="127">
        <v>71661232</v>
      </c>
      <c r="AZ187" s="127">
        <v>204654219</v>
      </c>
      <c r="BA187" s="126">
        <v>164194250</v>
      </c>
      <c r="BB187" s="127">
        <v>95236882</v>
      </c>
      <c r="BC187" s="127">
        <v>20259122</v>
      </c>
      <c r="BD187" s="127">
        <v>48698246</v>
      </c>
      <c r="BE187" s="126"/>
      <c r="BF187" s="126">
        <v>7337000</v>
      </c>
      <c r="BG187" s="308" t="s">
        <v>184</v>
      </c>
      <c r="BH187" s="308">
        <v>190</v>
      </c>
      <c r="BI187" s="109"/>
    </row>
    <row r="188" spans="1:61" ht="15" customHeight="1">
      <c r="A188" s="156">
        <v>2009</v>
      </c>
      <c r="B188" s="274" t="s">
        <v>270</v>
      </c>
      <c r="C188" s="274" t="s">
        <v>271</v>
      </c>
      <c r="D188" s="158">
        <v>125</v>
      </c>
      <c r="E188" s="272"/>
      <c r="F188" s="156">
        <v>338</v>
      </c>
      <c r="G188" s="274" t="s">
        <v>186</v>
      </c>
      <c r="H188" s="274" t="s">
        <v>187</v>
      </c>
      <c r="I188" s="157">
        <v>106.8</v>
      </c>
      <c r="J188" s="158">
        <v>91.1</v>
      </c>
      <c r="K188" s="163">
        <v>15.7</v>
      </c>
      <c r="L188" s="163">
        <v>3.3</v>
      </c>
      <c r="M188" s="163">
        <v>2.3</v>
      </c>
      <c r="N188" s="158">
        <v>277.9</v>
      </c>
      <c r="O188" s="159">
        <v>7.5</v>
      </c>
      <c r="P188" s="159">
        <v>2.03</v>
      </c>
      <c r="Q188" s="159">
        <v>5.57</v>
      </c>
      <c r="R188" s="159">
        <v>3.56</v>
      </c>
      <c r="S188" s="159">
        <v>2.25</v>
      </c>
      <c r="T188" s="159">
        <v>1.31</v>
      </c>
      <c r="U188" s="159">
        <v>0.8</v>
      </c>
      <c r="V188" s="159">
        <v>1.21</v>
      </c>
      <c r="W188" s="272"/>
      <c r="X188" s="158">
        <v>668</v>
      </c>
      <c r="Y188" s="158">
        <v>90</v>
      </c>
      <c r="Z188" s="160">
        <v>3.8</v>
      </c>
      <c r="AA188" s="130">
        <v>228.3</v>
      </c>
      <c r="AB188" s="130">
        <v>4477</v>
      </c>
      <c r="AC188" s="160">
        <v>4.58</v>
      </c>
      <c r="AD188" s="160">
        <v>3.11</v>
      </c>
      <c r="AE188" s="159">
        <v>1.47</v>
      </c>
      <c r="AF188" s="160">
        <v>4.58</v>
      </c>
      <c r="AG188" s="160">
        <v>4.58</v>
      </c>
      <c r="AH188" s="158">
        <v>271441258</v>
      </c>
      <c r="AI188" s="158">
        <v>177334444</v>
      </c>
      <c r="AJ188" s="158">
        <v>94106814</v>
      </c>
      <c r="AK188" s="158">
        <v>160899740</v>
      </c>
      <c r="AL188" s="158">
        <v>110541518</v>
      </c>
      <c r="AM188" s="158">
        <v>102430999</v>
      </c>
      <c r="AN188" s="158">
        <v>23070401</v>
      </c>
      <c r="AO188" s="158">
        <v>35398340</v>
      </c>
      <c r="AP188" s="308" t="s">
        <v>185</v>
      </c>
      <c r="AQ188" s="158">
        <v>74903445</v>
      </c>
      <c r="AR188" s="158">
        <v>35638073</v>
      </c>
      <c r="AS188" s="158">
        <v>281472000</v>
      </c>
      <c r="AT188" s="161">
        <v>394346600</v>
      </c>
      <c r="AU188" s="158">
        <v>202578300</v>
      </c>
      <c r="AV188" s="158">
        <v>134880500</v>
      </c>
      <c r="AW188" s="158">
        <v>59181000</v>
      </c>
      <c r="AX188" s="158">
        <v>130025400</v>
      </c>
      <c r="AY188" s="158">
        <v>83153800</v>
      </c>
      <c r="AZ188" s="158">
        <v>204654219</v>
      </c>
      <c r="BA188" s="157">
        <v>266914347</v>
      </c>
      <c r="BB188" s="158">
        <v>139887601</v>
      </c>
      <c r="BC188" s="158">
        <v>40257325</v>
      </c>
      <c r="BD188" s="158">
        <v>99682727</v>
      </c>
      <c r="BE188" s="157"/>
      <c r="BF188" s="157">
        <v>86942000</v>
      </c>
      <c r="BG188" s="308" t="s">
        <v>184</v>
      </c>
      <c r="BH188" s="308">
        <v>190</v>
      </c>
      <c r="BI188" s="133">
        <v>10.16</v>
      </c>
    </row>
    <row r="189" spans="1:61" ht="15" customHeight="1">
      <c r="A189" s="124">
        <v>2010</v>
      </c>
      <c r="B189" s="275" t="s">
        <v>270</v>
      </c>
      <c r="C189" s="275" t="s">
        <v>271</v>
      </c>
      <c r="D189" s="127">
        <v>130</v>
      </c>
      <c r="E189" s="273"/>
      <c r="F189" s="124">
        <v>351</v>
      </c>
      <c r="G189" s="275" t="s">
        <v>186</v>
      </c>
      <c r="H189" s="275" t="s">
        <v>187</v>
      </c>
      <c r="I189" s="126">
        <v>114.5</v>
      </c>
      <c r="J189" s="127">
        <v>95.4</v>
      </c>
      <c r="K189" s="150">
        <v>19.1</v>
      </c>
      <c r="L189" s="150">
        <v>3.4</v>
      </c>
      <c r="M189" s="150">
        <v>2.4</v>
      </c>
      <c r="N189" s="127">
        <v>277.9</v>
      </c>
      <c r="O189" s="128">
        <v>7.3</v>
      </c>
      <c r="P189" s="128">
        <v>2.15</v>
      </c>
      <c r="Q189" s="128">
        <v>5.14</v>
      </c>
      <c r="R189" s="128">
        <v>3.52</v>
      </c>
      <c r="S189" s="128">
        <v>2.97</v>
      </c>
      <c r="T189" s="128">
        <v>0.35</v>
      </c>
      <c r="U189" s="128">
        <v>0.51</v>
      </c>
      <c r="V189" s="128">
        <v>1.11</v>
      </c>
      <c r="W189" s="273"/>
      <c r="X189" s="127">
        <v>674</v>
      </c>
      <c r="Y189" s="127">
        <v>92</v>
      </c>
      <c r="Z189" s="129">
        <v>3.9</v>
      </c>
      <c r="AA189" s="123">
        <v>228.3</v>
      </c>
      <c r="AB189" s="123">
        <v>4429</v>
      </c>
      <c r="AC189" s="129">
        <v>4.3</v>
      </c>
      <c r="AD189" s="129">
        <v>2.81</v>
      </c>
      <c r="AE189" s="128">
        <v>1.49</v>
      </c>
      <c r="AF189" s="129">
        <v>4.3</v>
      </c>
      <c r="AG189" s="129">
        <v>4.3</v>
      </c>
      <c r="AH189" s="127">
        <v>816320118</v>
      </c>
      <c r="AI189" s="127">
        <v>469952883</v>
      </c>
      <c r="AJ189" s="127">
        <v>341926222</v>
      </c>
      <c r="AK189" s="127">
        <v>605661503</v>
      </c>
      <c r="AL189" s="127">
        <v>210658615</v>
      </c>
      <c r="AM189" s="127">
        <v>334932054</v>
      </c>
      <c r="AN189" s="127">
        <v>93444624</v>
      </c>
      <c r="AO189" s="127">
        <v>176421565</v>
      </c>
      <c r="AP189" s="309" t="s">
        <v>185</v>
      </c>
      <c r="AQ189" s="127">
        <v>135020829</v>
      </c>
      <c r="AR189" s="127">
        <v>72060033</v>
      </c>
      <c r="AS189" s="127">
        <v>793579000</v>
      </c>
      <c r="AT189" s="131">
        <v>406961450</v>
      </c>
      <c r="AU189" s="127">
        <v>237830290</v>
      </c>
      <c r="AV189" s="127">
        <v>169131160</v>
      </c>
      <c r="AW189" s="127">
        <v>53325290</v>
      </c>
      <c r="AX189" s="127">
        <v>134899547</v>
      </c>
      <c r="AY189" s="127">
        <v>71661232</v>
      </c>
      <c r="AZ189" s="127">
        <v>204654219</v>
      </c>
      <c r="BA189" s="126">
        <v>266785152</v>
      </c>
      <c r="BB189" s="127">
        <v>129224233</v>
      </c>
      <c r="BC189" s="127">
        <v>35830287</v>
      </c>
      <c r="BD189" s="127">
        <v>101730632</v>
      </c>
      <c r="BE189" s="126"/>
      <c r="BF189" s="126">
        <v>192201000</v>
      </c>
      <c r="BG189" s="309" t="s">
        <v>185</v>
      </c>
      <c r="BH189" s="309">
        <v>190</v>
      </c>
      <c r="BI189" s="111">
        <v>9.95</v>
      </c>
    </row>
    <row r="190" spans="1:60" s="74" customFormat="1" ht="6" customHeight="1">
      <c r="A190" s="76"/>
      <c r="B190" s="81"/>
      <c r="C190" s="81"/>
      <c r="D190" s="75"/>
      <c r="E190" s="78"/>
      <c r="H190" s="82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4"/>
      <c r="U190" s="83"/>
      <c r="V190" s="83"/>
      <c r="W190" s="83"/>
      <c r="X190" s="78"/>
      <c r="Y190" s="83"/>
      <c r="Z190" s="83"/>
      <c r="AA190" s="83"/>
      <c r="AB190" s="78"/>
      <c r="AC190" s="83"/>
      <c r="AD190" s="83"/>
      <c r="AE190" s="83"/>
      <c r="AF190" s="83"/>
      <c r="AG190" s="83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85"/>
    </row>
    <row r="191" spans="1:61" ht="15" customHeight="1">
      <c r="A191" s="109">
        <v>2007</v>
      </c>
      <c r="B191" s="263" t="s">
        <v>272</v>
      </c>
      <c r="C191" s="263" t="s">
        <v>273</v>
      </c>
      <c r="D191" s="109">
        <v>105</v>
      </c>
      <c r="E191" s="305">
        <v>3</v>
      </c>
      <c r="F191" s="109">
        <v>655</v>
      </c>
      <c r="G191" s="109" t="s">
        <v>185</v>
      </c>
      <c r="H191" s="113" t="s">
        <v>274</v>
      </c>
      <c r="I191" s="109">
        <v>105</v>
      </c>
      <c r="J191" s="153">
        <v>101</v>
      </c>
      <c r="K191" s="109">
        <v>4</v>
      </c>
      <c r="L191" s="151">
        <v>3.44</v>
      </c>
      <c r="M191" s="119" t="s">
        <v>185</v>
      </c>
      <c r="N191" s="152">
        <v>474.8</v>
      </c>
      <c r="O191" s="136">
        <v>17.55</v>
      </c>
      <c r="P191" s="109">
        <v>2.89</v>
      </c>
      <c r="Q191" s="136">
        <v>17.48</v>
      </c>
      <c r="R191" s="109">
        <v>4.35</v>
      </c>
      <c r="S191" s="136">
        <v>4.29</v>
      </c>
      <c r="T191" s="109">
        <v>0.06</v>
      </c>
      <c r="U191" s="136">
        <v>11.53</v>
      </c>
      <c r="V191" s="109">
        <v>1.6</v>
      </c>
      <c r="W191" s="305" t="s">
        <v>185</v>
      </c>
      <c r="X191" s="115">
        <v>1117</v>
      </c>
      <c r="Y191" s="153">
        <v>105</v>
      </c>
      <c r="Z191" s="154" t="s">
        <v>275</v>
      </c>
      <c r="AA191" s="153">
        <v>272.5</v>
      </c>
      <c r="AB191" s="109">
        <v>1663</v>
      </c>
      <c r="AC191" s="136">
        <v>11.64</v>
      </c>
      <c r="AD191" s="134">
        <v>6.8</v>
      </c>
      <c r="AE191" s="134">
        <v>4.84</v>
      </c>
      <c r="AF191" s="109">
        <v>11.64</v>
      </c>
      <c r="AG191" s="109">
        <v>11.64</v>
      </c>
      <c r="AH191" s="114">
        <v>630069000</v>
      </c>
      <c r="AI191" s="114">
        <v>222544000</v>
      </c>
      <c r="AJ191" s="114">
        <v>407525000</v>
      </c>
      <c r="AK191" s="155">
        <v>399763000</v>
      </c>
      <c r="AL191" s="114">
        <v>225355000</v>
      </c>
      <c r="AM191" s="114">
        <v>91407000</v>
      </c>
      <c r="AN191" s="114">
        <v>299388000</v>
      </c>
      <c r="AO191" s="114">
        <v>8967000</v>
      </c>
      <c r="AP191" s="305" t="s">
        <v>185</v>
      </c>
      <c r="AQ191" s="114">
        <v>131137000</v>
      </c>
      <c r="AR191" s="114">
        <v>94218000</v>
      </c>
      <c r="AS191" s="114">
        <v>705043000</v>
      </c>
      <c r="AT191" s="114">
        <v>622103000</v>
      </c>
      <c r="AU191" s="114">
        <v>353219000</v>
      </c>
      <c r="AV191" s="114">
        <v>268884000</v>
      </c>
      <c r="AW191" s="114"/>
      <c r="AX191" s="114">
        <v>235846000</v>
      </c>
      <c r="AY191" s="114">
        <v>176663000</v>
      </c>
      <c r="AZ191" s="114">
        <v>46466000</v>
      </c>
      <c r="BA191" s="115">
        <v>151607000</v>
      </c>
      <c r="BB191" s="115">
        <v>97028840</v>
      </c>
      <c r="BC191" s="115">
        <v>54578160</v>
      </c>
      <c r="BD191" s="115"/>
      <c r="BE191" s="305" t="s">
        <v>185</v>
      </c>
      <c r="BF191" s="115">
        <v>68734000</v>
      </c>
      <c r="BG191" s="305" t="s">
        <v>185</v>
      </c>
      <c r="BH191" s="305">
        <v>180</v>
      </c>
      <c r="BI191" s="109"/>
    </row>
    <row r="192" spans="1:61" ht="15" customHeight="1">
      <c r="A192" s="109">
        <v>2008</v>
      </c>
      <c r="B192" s="264" t="s">
        <v>272</v>
      </c>
      <c r="C192" s="264" t="s">
        <v>273</v>
      </c>
      <c r="D192" s="109">
        <v>101</v>
      </c>
      <c r="E192" s="306">
        <v>3</v>
      </c>
      <c r="F192" s="109">
        <v>653</v>
      </c>
      <c r="G192" s="305" t="s">
        <v>184</v>
      </c>
      <c r="H192" s="269" t="s">
        <v>276</v>
      </c>
      <c r="I192" s="109">
        <v>101</v>
      </c>
      <c r="J192" s="153">
        <v>97.4</v>
      </c>
      <c r="K192" s="109">
        <v>3.6</v>
      </c>
      <c r="L192" s="151">
        <v>3.44</v>
      </c>
      <c r="M192" s="134">
        <v>3</v>
      </c>
      <c r="N192" s="152">
        <v>474.8</v>
      </c>
      <c r="O192" s="136">
        <v>17.55</v>
      </c>
      <c r="P192" s="109">
        <v>3</v>
      </c>
      <c r="Q192" s="136">
        <v>16.9</v>
      </c>
      <c r="R192" s="109">
        <v>3.9</v>
      </c>
      <c r="S192" s="136">
        <v>3.84</v>
      </c>
      <c r="T192" s="109">
        <v>0.06</v>
      </c>
      <c r="U192" s="136">
        <v>12.5</v>
      </c>
      <c r="V192" s="109">
        <v>0.4</v>
      </c>
      <c r="W192" s="306" t="s">
        <v>185</v>
      </c>
      <c r="X192" s="115">
        <v>1019</v>
      </c>
      <c r="Y192" s="153">
        <v>101</v>
      </c>
      <c r="Z192" s="154" t="s">
        <v>275</v>
      </c>
      <c r="AA192" s="153">
        <v>272.5</v>
      </c>
      <c r="AB192" s="109">
        <v>1600</v>
      </c>
      <c r="AC192" s="136">
        <v>11.04</v>
      </c>
      <c r="AD192" s="134">
        <v>6.2</v>
      </c>
      <c r="AE192" s="134">
        <v>4.24</v>
      </c>
      <c r="AF192" s="109">
        <v>11.11</v>
      </c>
      <c r="AG192" s="109">
        <v>11.11</v>
      </c>
      <c r="AH192" s="114">
        <v>657400000</v>
      </c>
      <c r="AI192" s="114">
        <v>150052000</v>
      </c>
      <c r="AJ192" s="114">
        <v>413172000</v>
      </c>
      <c r="AK192" s="155">
        <v>427050000</v>
      </c>
      <c r="AL192" s="114">
        <v>230358000</v>
      </c>
      <c r="AM192" s="114">
        <v>92602000</v>
      </c>
      <c r="AN192" s="114">
        <v>324648000</v>
      </c>
      <c r="AO192" s="114">
        <v>9791000</v>
      </c>
      <c r="AP192" s="306" t="s">
        <v>185</v>
      </c>
      <c r="AQ192" s="114">
        <v>128719000</v>
      </c>
      <c r="AR192" s="114">
        <v>88524000</v>
      </c>
      <c r="AS192" s="114">
        <v>683563747</v>
      </c>
      <c r="AT192" s="114">
        <v>702699000</v>
      </c>
      <c r="AU192" s="114">
        <v>441272000</v>
      </c>
      <c r="AV192" s="114">
        <v>231594000</v>
      </c>
      <c r="AW192" s="114"/>
      <c r="AX192" s="114">
        <v>229398000</v>
      </c>
      <c r="AY192" s="114">
        <v>242536000</v>
      </c>
      <c r="AZ192" s="114">
        <v>58318000</v>
      </c>
      <c r="BA192" s="115">
        <v>159324953</v>
      </c>
      <c r="BB192" s="115">
        <v>115293938</v>
      </c>
      <c r="BC192" s="115">
        <v>44031016</v>
      </c>
      <c r="BD192" s="115"/>
      <c r="BE192" s="306" t="s">
        <v>185</v>
      </c>
      <c r="BF192" s="115">
        <v>92021000</v>
      </c>
      <c r="BG192" s="306" t="s">
        <v>185</v>
      </c>
      <c r="BH192" s="306">
        <v>180</v>
      </c>
      <c r="BI192" s="109"/>
    </row>
    <row r="193" spans="1:61" ht="15" customHeight="1">
      <c r="A193" s="109">
        <v>2009</v>
      </c>
      <c r="B193" s="264" t="s">
        <v>272</v>
      </c>
      <c r="C193" s="264" t="s">
        <v>273</v>
      </c>
      <c r="D193" s="109">
        <v>112</v>
      </c>
      <c r="E193" s="306">
        <v>3</v>
      </c>
      <c r="F193" s="109">
        <v>656</v>
      </c>
      <c r="G193" s="306" t="s">
        <v>184</v>
      </c>
      <c r="H193" s="270"/>
      <c r="I193" s="109">
        <v>112</v>
      </c>
      <c r="J193" s="153">
        <f>I193-K193</f>
        <v>108.4</v>
      </c>
      <c r="K193" s="109">
        <v>3.6</v>
      </c>
      <c r="L193" s="151">
        <v>3.957</v>
      </c>
      <c r="M193" s="134">
        <v>4.612</v>
      </c>
      <c r="N193" s="152">
        <v>474.8</v>
      </c>
      <c r="O193" s="136" t="s">
        <v>277</v>
      </c>
      <c r="P193" s="109">
        <f>1.173+1.1</f>
        <v>2.273</v>
      </c>
      <c r="Q193" s="136" t="s">
        <v>278</v>
      </c>
      <c r="R193" s="109" t="s">
        <v>279</v>
      </c>
      <c r="S193" s="136">
        <f>16.5-0.059</f>
        <v>16.441</v>
      </c>
      <c r="T193" s="109">
        <v>0.059</v>
      </c>
      <c r="U193" s="136" t="s">
        <v>280</v>
      </c>
      <c r="V193" s="109" t="s">
        <v>281</v>
      </c>
      <c r="W193" s="306" t="s">
        <v>185</v>
      </c>
      <c r="X193" s="115">
        <v>922</v>
      </c>
      <c r="Y193" s="153">
        <v>112</v>
      </c>
      <c r="Z193" s="154" t="s">
        <v>282</v>
      </c>
      <c r="AA193" s="153">
        <v>272.5</v>
      </c>
      <c r="AB193" s="109">
        <v>1721</v>
      </c>
      <c r="AC193" s="136">
        <v>10.8</v>
      </c>
      <c r="AD193" s="134">
        <v>6</v>
      </c>
      <c r="AE193" s="134">
        <v>4.2</v>
      </c>
      <c r="AF193" s="109">
        <v>10.9</v>
      </c>
      <c r="AG193" s="109">
        <v>10.9</v>
      </c>
      <c r="AH193" s="114">
        <f>AK193+AL193</f>
        <v>758201000</v>
      </c>
      <c r="AI193" s="114">
        <f>AM193+AQ193</f>
        <v>245038000</v>
      </c>
      <c r="AJ193" s="114">
        <f>AN193+AR193</f>
        <v>501165000</v>
      </c>
      <c r="AK193" s="155">
        <v>501734000</v>
      </c>
      <c r="AL193" s="114">
        <v>256467000</v>
      </c>
      <c r="AM193" s="114">
        <v>103811000</v>
      </c>
      <c r="AN193" s="114">
        <v>385925000</v>
      </c>
      <c r="AO193" s="114">
        <v>11998000</v>
      </c>
      <c r="AP193" s="306" t="s">
        <v>185</v>
      </c>
      <c r="AQ193" s="114">
        <v>141227000</v>
      </c>
      <c r="AR193" s="114">
        <v>115240000</v>
      </c>
      <c r="AS193" s="114">
        <v>836951896</v>
      </c>
      <c r="AT193" s="114">
        <v>817255000</v>
      </c>
      <c r="AU193" s="114">
        <v>520864000</v>
      </c>
      <c r="AV193" s="114">
        <v>267329000</v>
      </c>
      <c r="AW193" s="114"/>
      <c r="AX193" s="114">
        <v>287006000</v>
      </c>
      <c r="AY193" s="114">
        <v>260045000</v>
      </c>
      <c r="AZ193" s="114">
        <v>78980000</v>
      </c>
      <c r="BA193" s="115">
        <v>168841208</v>
      </c>
      <c r="BB193" s="115">
        <f>BA193-BC193</f>
        <v>128557079</v>
      </c>
      <c r="BC193" s="115">
        <v>40284129</v>
      </c>
      <c r="BD193" s="115"/>
      <c r="BE193" s="306" t="s">
        <v>185</v>
      </c>
      <c r="BF193" s="115">
        <v>68233812</v>
      </c>
      <c r="BG193" s="306" t="s">
        <v>185</v>
      </c>
      <c r="BH193" s="306">
        <v>180</v>
      </c>
      <c r="BI193" s="111">
        <v>40.76</v>
      </c>
    </row>
    <row r="194" spans="1:61" ht="15" customHeight="1">
      <c r="A194" s="109">
        <v>2010</v>
      </c>
      <c r="B194" s="265" t="s">
        <v>272</v>
      </c>
      <c r="C194" s="265" t="s">
        <v>273</v>
      </c>
      <c r="D194" s="109">
        <v>113</v>
      </c>
      <c r="E194" s="307">
        <v>3</v>
      </c>
      <c r="F194" s="109">
        <v>655</v>
      </c>
      <c r="G194" s="307" t="s">
        <v>184</v>
      </c>
      <c r="H194" s="271"/>
      <c r="I194" s="109">
        <v>113</v>
      </c>
      <c r="J194" s="153">
        <f>I194-K194</f>
        <v>109.6</v>
      </c>
      <c r="K194" s="109">
        <v>3.4</v>
      </c>
      <c r="L194" s="151">
        <v>4.291</v>
      </c>
      <c r="M194" s="134">
        <v>3.122</v>
      </c>
      <c r="N194" s="152">
        <v>474.8</v>
      </c>
      <c r="O194" s="136" t="s">
        <v>283</v>
      </c>
      <c r="P194" s="109">
        <f>1.4+1.3</f>
        <v>2.7</v>
      </c>
      <c r="Q194" s="136" t="s">
        <v>284</v>
      </c>
      <c r="R194" s="109" t="s">
        <v>285</v>
      </c>
      <c r="S194" s="136">
        <f>16.8-0.055</f>
        <v>16.745</v>
      </c>
      <c r="T194" s="109">
        <v>0.055</v>
      </c>
      <c r="U194" s="136" t="s">
        <v>286</v>
      </c>
      <c r="V194" s="109" t="s">
        <v>287</v>
      </c>
      <c r="W194" s="307" t="s">
        <v>185</v>
      </c>
      <c r="X194" s="115">
        <v>1058</v>
      </c>
      <c r="Y194" s="153">
        <v>113</v>
      </c>
      <c r="Z194" s="154" t="s">
        <v>288</v>
      </c>
      <c r="AA194" s="153">
        <v>272.5</v>
      </c>
      <c r="AB194" s="109">
        <v>2668</v>
      </c>
      <c r="AC194" s="136">
        <v>10.8</v>
      </c>
      <c r="AD194" s="134">
        <v>6</v>
      </c>
      <c r="AE194" s="134">
        <v>4.2</v>
      </c>
      <c r="AF194" s="109">
        <v>10.9</v>
      </c>
      <c r="AG194" s="109">
        <v>10.9</v>
      </c>
      <c r="AH194" s="114">
        <f>AK194+AL194</f>
        <v>877245500</v>
      </c>
      <c r="AI194" s="114">
        <f>AM194+AQ194</f>
        <v>273022000</v>
      </c>
      <c r="AJ194" s="114">
        <f>AN194+AR194</f>
        <v>589326000</v>
      </c>
      <c r="AK194" s="155">
        <v>593364300</v>
      </c>
      <c r="AL194" s="114">
        <v>283881200</v>
      </c>
      <c r="AM194" s="114">
        <v>117122000</v>
      </c>
      <c r="AN194" s="114">
        <v>461345000</v>
      </c>
      <c r="AO194" s="114">
        <v>14897000</v>
      </c>
      <c r="AP194" s="307" t="s">
        <v>185</v>
      </c>
      <c r="AQ194" s="114">
        <v>155900000</v>
      </c>
      <c r="AR194" s="114">
        <v>127981000</v>
      </c>
      <c r="AS194" s="114">
        <v>966271468</v>
      </c>
      <c r="AT194" s="114">
        <v>893216000</v>
      </c>
      <c r="AU194" s="114">
        <v>582033000</v>
      </c>
      <c r="AV194" s="114">
        <v>285357000</v>
      </c>
      <c r="AW194" s="114"/>
      <c r="AX194" s="114">
        <v>270942000</v>
      </c>
      <c r="AY194" s="114">
        <v>357108000</v>
      </c>
      <c r="AZ194" s="114">
        <v>73553000</v>
      </c>
      <c r="BA194" s="115">
        <v>1362812983</v>
      </c>
      <c r="BB194" s="115">
        <f>BA194-BC194</f>
        <v>910858860</v>
      </c>
      <c r="BC194" s="115">
        <v>451954123</v>
      </c>
      <c r="BD194" s="115"/>
      <c r="BE194" s="307" t="s">
        <v>185</v>
      </c>
      <c r="BF194" s="115">
        <v>78585784</v>
      </c>
      <c r="BG194" s="307" t="s">
        <v>185</v>
      </c>
      <c r="BH194" s="307">
        <v>180</v>
      </c>
      <c r="BI194" s="111">
        <v>40.1</v>
      </c>
    </row>
    <row r="195" spans="1:60" s="74" customFormat="1" ht="6" customHeight="1">
      <c r="A195" s="76"/>
      <c r="B195" s="81"/>
      <c r="C195" s="81"/>
      <c r="D195" s="75"/>
      <c r="E195" s="78"/>
      <c r="H195" s="82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4"/>
      <c r="U195" s="83"/>
      <c r="V195" s="83"/>
      <c r="W195" s="83"/>
      <c r="X195" s="78"/>
      <c r="Y195" s="83"/>
      <c r="Z195" s="83"/>
      <c r="AA195" s="83"/>
      <c r="AB195" s="78"/>
      <c r="AC195" s="83"/>
      <c r="AD195" s="83"/>
      <c r="AE195" s="83"/>
      <c r="AF195" s="83"/>
      <c r="AG195" s="83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85"/>
    </row>
    <row r="196" spans="1:61" ht="24" customHeight="1">
      <c r="A196" s="205">
        <v>2000</v>
      </c>
      <c r="B196" s="189" t="s">
        <v>290</v>
      </c>
      <c r="C196" s="189" t="s">
        <v>291</v>
      </c>
      <c r="D196" s="208">
        <v>43.23</v>
      </c>
      <c r="E196" s="254">
        <v>1</v>
      </c>
      <c r="F196" s="205">
        <v>193</v>
      </c>
      <c r="G196" s="254" t="s">
        <v>292</v>
      </c>
      <c r="H196" s="254" t="s">
        <v>221</v>
      </c>
      <c r="I196" s="190">
        <v>43.23</v>
      </c>
      <c r="J196" s="208">
        <v>41.74</v>
      </c>
      <c r="K196" s="209">
        <v>1.49</v>
      </c>
      <c r="L196" s="209">
        <v>21.73</v>
      </c>
      <c r="M196" s="207" t="s">
        <v>185</v>
      </c>
      <c r="N196" s="208">
        <v>124.7</v>
      </c>
      <c r="O196" s="207">
        <v>8.219</v>
      </c>
      <c r="P196" s="207">
        <v>0.0003</v>
      </c>
      <c r="Q196" s="207">
        <v>6.7</v>
      </c>
      <c r="R196" s="207">
        <v>4.7</v>
      </c>
      <c r="S196" s="207">
        <v>4.56</v>
      </c>
      <c r="T196" s="207">
        <v>0.14</v>
      </c>
      <c r="U196" s="207">
        <v>1.5</v>
      </c>
      <c r="V196" s="207">
        <v>0.5</v>
      </c>
      <c r="W196" s="245" t="s">
        <v>185</v>
      </c>
      <c r="X196" s="208">
        <v>48</v>
      </c>
      <c r="Y196" s="190">
        <v>32.62</v>
      </c>
      <c r="Z196" s="192">
        <v>0.74</v>
      </c>
      <c r="AA196" s="210">
        <v>65.1</v>
      </c>
      <c r="AB196" s="210">
        <v>222</v>
      </c>
      <c r="AC196" s="192">
        <v>9.2</v>
      </c>
      <c r="AD196" s="192">
        <v>6.657</v>
      </c>
      <c r="AE196" s="207">
        <v>2.543</v>
      </c>
      <c r="AF196" s="207">
        <v>9.2</v>
      </c>
      <c r="AG196" s="207">
        <v>9.2</v>
      </c>
      <c r="AH196" s="208">
        <v>61079000</v>
      </c>
      <c r="AI196" s="208">
        <v>39413000</v>
      </c>
      <c r="AJ196" s="208">
        <v>21666000</v>
      </c>
      <c r="AK196" s="208">
        <v>30906000</v>
      </c>
      <c r="AL196" s="208">
        <v>30173000</v>
      </c>
      <c r="AM196" s="208">
        <v>21610000</v>
      </c>
      <c r="AN196" s="208">
        <v>6897000</v>
      </c>
      <c r="AO196" s="208">
        <v>2399000</v>
      </c>
      <c r="AP196" s="230" t="s">
        <v>185</v>
      </c>
      <c r="AQ196" s="208">
        <v>17804000</v>
      </c>
      <c r="AR196" s="208">
        <v>12369000</v>
      </c>
      <c r="AS196" s="208">
        <v>61079000</v>
      </c>
      <c r="AT196" s="211">
        <v>66507000</v>
      </c>
      <c r="AU196" s="208">
        <v>34872000</v>
      </c>
      <c r="AV196" s="208">
        <v>31635000</v>
      </c>
      <c r="AW196" s="208"/>
      <c r="AX196" s="208">
        <v>22775000</v>
      </c>
      <c r="AY196" s="208"/>
      <c r="AZ196" s="208"/>
      <c r="BA196" s="190">
        <v>184327000</v>
      </c>
      <c r="BB196" s="208">
        <v>102824524</v>
      </c>
      <c r="BC196" s="208">
        <v>59021036</v>
      </c>
      <c r="BD196" s="208">
        <v>22481440</v>
      </c>
      <c r="BE196" s="230" t="s">
        <v>185</v>
      </c>
      <c r="BF196" s="190">
        <v>8934</v>
      </c>
      <c r="BG196" s="230" t="s">
        <v>185</v>
      </c>
      <c r="BH196" s="230">
        <v>326</v>
      </c>
      <c r="BI196" s="212"/>
    </row>
    <row r="197" spans="1:61" ht="15" customHeight="1">
      <c r="A197" s="205">
        <v>2001</v>
      </c>
      <c r="B197" s="236" t="s">
        <v>293</v>
      </c>
      <c r="C197" s="236" t="s">
        <v>294</v>
      </c>
      <c r="D197" s="208">
        <v>41.46</v>
      </c>
      <c r="E197" s="255">
        <v>1</v>
      </c>
      <c r="F197" s="205">
        <v>200</v>
      </c>
      <c r="G197" s="255" t="s">
        <v>292</v>
      </c>
      <c r="H197" s="255" t="s">
        <v>221</v>
      </c>
      <c r="I197" s="190">
        <v>41.46</v>
      </c>
      <c r="J197" s="208">
        <v>39.98</v>
      </c>
      <c r="K197" s="209">
        <v>1.48</v>
      </c>
      <c r="L197" s="209">
        <v>21.76</v>
      </c>
      <c r="M197" s="209">
        <v>0.214</v>
      </c>
      <c r="N197" s="208">
        <v>124.7</v>
      </c>
      <c r="O197" s="207">
        <v>11.64</v>
      </c>
      <c r="P197" s="207">
        <v>0.0003</v>
      </c>
      <c r="Q197" s="207">
        <v>6.9</v>
      </c>
      <c r="R197" s="207">
        <v>4.4</v>
      </c>
      <c r="S197" s="207">
        <v>4.28</v>
      </c>
      <c r="T197" s="207">
        <v>0.12</v>
      </c>
      <c r="U197" s="207">
        <v>2.1</v>
      </c>
      <c r="V197" s="207">
        <v>0.4</v>
      </c>
      <c r="W197" s="246"/>
      <c r="X197" s="208">
        <v>75</v>
      </c>
      <c r="Y197" s="190">
        <v>32.58</v>
      </c>
      <c r="Z197" s="192">
        <v>0.75</v>
      </c>
      <c r="AA197" s="210">
        <v>65.1</v>
      </c>
      <c r="AB197" s="210">
        <v>211</v>
      </c>
      <c r="AC197" s="192">
        <v>8.596</v>
      </c>
      <c r="AD197" s="192">
        <v>6.51</v>
      </c>
      <c r="AE197" s="207">
        <v>2.086</v>
      </c>
      <c r="AF197" s="207">
        <v>8.596</v>
      </c>
      <c r="AG197" s="207">
        <v>8.596</v>
      </c>
      <c r="AH197" s="208">
        <v>70942000</v>
      </c>
      <c r="AI197" s="208">
        <v>42396000</v>
      </c>
      <c r="AJ197" s="208">
        <v>28547000</v>
      </c>
      <c r="AK197" s="208">
        <v>38169000</v>
      </c>
      <c r="AL197" s="208">
        <v>32774000</v>
      </c>
      <c r="AM197" s="208">
        <v>24559000</v>
      </c>
      <c r="AN197" s="208">
        <v>11582000</v>
      </c>
      <c r="AO197" s="208">
        <v>2028000</v>
      </c>
      <c r="AP197" s="231">
        <v>0</v>
      </c>
      <c r="AQ197" s="208">
        <v>17837000</v>
      </c>
      <c r="AR197" s="208">
        <v>14937000</v>
      </c>
      <c r="AS197" s="208">
        <v>70943000</v>
      </c>
      <c r="AT197" s="211">
        <v>67567000</v>
      </c>
      <c r="AU197" s="208">
        <v>35270000</v>
      </c>
      <c r="AV197" s="208">
        <v>32297000</v>
      </c>
      <c r="AW197" s="208"/>
      <c r="AX197" s="208">
        <v>24774000</v>
      </c>
      <c r="AY197" s="208"/>
      <c r="AZ197" s="208"/>
      <c r="BA197" s="190">
        <v>193738000</v>
      </c>
      <c r="BB197" s="208">
        <v>103528912</v>
      </c>
      <c r="BC197" s="208">
        <v>59571135</v>
      </c>
      <c r="BD197" s="208">
        <v>30637953</v>
      </c>
      <c r="BE197" s="231" t="s">
        <v>185</v>
      </c>
      <c r="BF197" s="190">
        <v>9823</v>
      </c>
      <c r="BG197" s="231" t="s">
        <v>185</v>
      </c>
      <c r="BH197" s="231">
        <v>326</v>
      </c>
      <c r="BI197" s="212"/>
    </row>
    <row r="198" spans="1:61" ht="15" customHeight="1">
      <c r="A198" s="205">
        <v>2002</v>
      </c>
      <c r="B198" s="237" t="s">
        <v>293</v>
      </c>
      <c r="C198" s="237"/>
      <c r="D198" s="208">
        <v>39.57</v>
      </c>
      <c r="E198" s="255">
        <v>1</v>
      </c>
      <c r="F198" s="205">
        <v>202</v>
      </c>
      <c r="G198" s="255" t="s">
        <v>292</v>
      </c>
      <c r="H198" s="255" t="s">
        <v>221</v>
      </c>
      <c r="I198" s="190">
        <v>39.57</v>
      </c>
      <c r="J198" s="208">
        <v>38.13</v>
      </c>
      <c r="K198" s="209">
        <v>1.44</v>
      </c>
      <c r="L198" s="209">
        <v>21.54</v>
      </c>
      <c r="M198" s="209">
        <v>0.847</v>
      </c>
      <c r="N198" s="208">
        <v>124.7</v>
      </c>
      <c r="O198" s="207">
        <v>11.701</v>
      </c>
      <c r="P198" s="207">
        <v>0.0254</v>
      </c>
      <c r="Q198" s="207">
        <v>6.6</v>
      </c>
      <c r="R198" s="207">
        <v>4.2</v>
      </c>
      <c r="S198" s="207">
        <v>4.12</v>
      </c>
      <c r="T198" s="207">
        <v>0.08</v>
      </c>
      <c r="U198" s="207">
        <v>2</v>
      </c>
      <c r="V198" s="207">
        <v>0.4</v>
      </c>
      <c r="W198" s="246"/>
      <c r="X198" s="208">
        <v>55</v>
      </c>
      <c r="Y198" s="190">
        <v>29.76</v>
      </c>
      <c r="Z198" s="192">
        <v>0.75</v>
      </c>
      <c r="AA198" s="213">
        <v>65.1</v>
      </c>
      <c r="AB198" s="210">
        <v>200</v>
      </c>
      <c r="AC198" s="192">
        <v>8.895</v>
      </c>
      <c r="AD198" s="192">
        <v>6.57</v>
      </c>
      <c r="AE198" s="207">
        <v>2.3274</v>
      </c>
      <c r="AF198" s="207">
        <v>8.895</v>
      </c>
      <c r="AG198" s="207">
        <v>8.895</v>
      </c>
      <c r="AH198" s="208">
        <v>72631000</v>
      </c>
      <c r="AI198" s="208">
        <v>42179000</v>
      </c>
      <c r="AJ198" s="208">
        <v>30452000</v>
      </c>
      <c r="AK198" s="208">
        <v>38545000</v>
      </c>
      <c r="AL198" s="208">
        <v>34086000</v>
      </c>
      <c r="AM198" s="208">
        <v>24242000</v>
      </c>
      <c r="AN198" s="208">
        <v>11917000</v>
      </c>
      <c r="AO198" s="208">
        <v>2386000</v>
      </c>
      <c r="AP198" s="231">
        <v>0</v>
      </c>
      <c r="AQ198" s="208">
        <v>17937000</v>
      </c>
      <c r="AR198" s="208">
        <v>16149000</v>
      </c>
      <c r="AS198" s="208">
        <v>72631000</v>
      </c>
      <c r="AT198" s="211">
        <v>80160000</v>
      </c>
      <c r="AU198" s="208">
        <v>42524000</v>
      </c>
      <c r="AV198" s="208">
        <v>37636000</v>
      </c>
      <c r="AW198" s="208"/>
      <c r="AX198" s="208">
        <v>34661000</v>
      </c>
      <c r="AY198" s="208"/>
      <c r="AZ198" s="208"/>
      <c r="BA198" s="190">
        <v>201266000</v>
      </c>
      <c r="BB198" s="208">
        <v>113572920</v>
      </c>
      <c r="BC198" s="208">
        <v>61478082</v>
      </c>
      <c r="BD198" s="208">
        <v>26214998</v>
      </c>
      <c r="BE198" s="231" t="s">
        <v>185</v>
      </c>
      <c r="BF198" s="190">
        <v>10221</v>
      </c>
      <c r="BG198" s="231" t="s">
        <v>185</v>
      </c>
      <c r="BH198" s="231">
        <v>326</v>
      </c>
      <c r="BI198" s="212"/>
    </row>
    <row r="199" spans="1:61" ht="15" customHeight="1">
      <c r="A199" s="205">
        <v>2003</v>
      </c>
      <c r="B199" s="237" t="s">
        <v>293</v>
      </c>
      <c r="C199" s="237"/>
      <c r="D199" s="208">
        <v>39.94</v>
      </c>
      <c r="E199" s="255">
        <v>1</v>
      </c>
      <c r="F199" s="205">
        <v>209</v>
      </c>
      <c r="G199" s="255" t="s">
        <v>292</v>
      </c>
      <c r="H199" s="255" t="s">
        <v>221</v>
      </c>
      <c r="I199" s="190">
        <v>39.94</v>
      </c>
      <c r="J199" s="208">
        <v>38.43</v>
      </c>
      <c r="K199" s="209">
        <v>1.51</v>
      </c>
      <c r="L199" s="209">
        <v>21.58</v>
      </c>
      <c r="M199" s="209">
        <v>0.929</v>
      </c>
      <c r="N199" s="208">
        <v>124.8</v>
      </c>
      <c r="O199" s="207">
        <v>11.136</v>
      </c>
      <c r="P199" s="207">
        <v>0.064</v>
      </c>
      <c r="Q199" s="207">
        <v>6.9</v>
      </c>
      <c r="R199" s="207">
        <v>4.5</v>
      </c>
      <c r="S199" s="207">
        <v>4.4</v>
      </c>
      <c r="T199" s="207">
        <v>0.1</v>
      </c>
      <c r="U199" s="207">
        <v>2</v>
      </c>
      <c r="V199" s="207">
        <v>0.4</v>
      </c>
      <c r="W199" s="246"/>
      <c r="X199" s="208">
        <v>67</v>
      </c>
      <c r="Y199" s="190">
        <v>29.83</v>
      </c>
      <c r="Z199" s="192">
        <v>0.75</v>
      </c>
      <c r="AA199" s="213">
        <v>65.1</v>
      </c>
      <c r="AB199" s="210">
        <v>197</v>
      </c>
      <c r="AC199" s="192">
        <v>8.54</v>
      </c>
      <c r="AD199" s="192">
        <v>7.48</v>
      </c>
      <c r="AE199" s="207">
        <v>1.064</v>
      </c>
      <c r="AF199" s="207">
        <v>8.54</v>
      </c>
      <c r="AG199" s="207">
        <v>8.54</v>
      </c>
      <c r="AH199" s="208">
        <v>78970000</v>
      </c>
      <c r="AI199" s="208">
        <v>46073000</v>
      </c>
      <c r="AJ199" s="208">
        <v>32897000</v>
      </c>
      <c r="AK199" s="208">
        <v>42801000</v>
      </c>
      <c r="AL199" s="208">
        <v>36169000</v>
      </c>
      <c r="AM199" s="208">
        <v>27691000</v>
      </c>
      <c r="AN199" s="208">
        <v>12584000</v>
      </c>
      <c r="AO199" s="208">
        <v>2526000</v>
      </c>
      <c r="AP199" s="231">
        <v>0</v>
      </c>
      <c r="AQ199" s="208">
        <v>18382000</v>
      </c>
      <c r="AR199" s="208">
        <v>17787000</v>
      </c>
      <c r="AS199" s="208">
        <v>78970000</v>
      </c>
      <c r="AT199" s="211">
        <v>87400000</v>
      </c>
      <c r="AU199" s="208">
        <v>50648000</v>
      </c>
      <c r="AV199" s="208">
        <v>36752000</v>
      </c>
      <c r="AW199" s="208"/>
      <c r="AX199" s="208">
        <v>39168000</v>
      </c>
      <c r="AY199" s="208"/>
      <c r="AZ199" s="208"/>
      <c r="BA199" s="190">
        <v>205335000</v>
      </c>
      <c r="BB199" s="208">
        <v>117215272</v>
      </c>
      <c r="BC199" s="208">
        <v>61913958</v>
      </c>
      <c r="BD199" s="208">
        <v>26205770</v>
      </c>
      <c r="BE199" s="231" t="s">
        <v>185</v>
      </c>
      <c r="BF199" s="190">
        <v>10974</v>
      </c>
      <c r="BG199" s="231" t="s">
        <v>185</v>
      </c>
      <c r="BH199" s="231">
        <v>326</v>
      </c>
      <c r="BI199" s="212"/>
    </row>
    <row r="200" spans="1:61" ht="15" customHeight="1">
      <c r="A200" s="205">
        <v>2004</v>
      </c>
      <c r="B200" s="237" t="s">
        <v>293</v>
      </c>
      <c r="C200" s="237"/>
      <c r="D200" s="208">
        <v>41.79</v>
      </c>
      <c r="E200" s="255">
        <v>1</v>
      </c>
      <c r="F200" s="205">
        <v>205</v>
      </c>
      <c r="G200" s="255" t="s">
        <v>292</v>
      </c>
      <c r="H200" s="255" t="s">
        <v>221</v>
      </c>
      <c r="I200" s="190">
        <v>41.79</v>
      </c>
      <c r="J200" s="208">
        <v>40.3</v>
      </c>
      <c r="K200" s="209">
        <v>1.49</v>
      </c>
      <c r="L200" s="209">
        <v>21.59</v>
      </c>
      <c r="M200" s="209">
        <v>0.99</v>
      </c>
      <c r="N200" s="208">
        <v>124.8</v>
      </c>
      <c r="O200" s="207">
        <v>11.58</v>
      </c>
      <c r="P200" s="207">
        <v>0.12</v>
      </c>
      <c r="Q200" s="207">
        <v>6.9</v>
      </c>
      <c r="R200" s="207">
        <v>4.4</v>
      </c>
      <c r="S200" s="207">
        <v>4.34</v>
      </c>
      <c r="T200" s="207">
        <v>0.06</v>
      </c>
      <c r="U200" s="207">
        <v>2.1</v>
      </c>
      <c r="V200" s="207">
        <v>0.4</v>
      </c>
      <c r="W200" s="246"/>
      <c r="X200" s="208">
        <v>121</v>
      </c>
      <c r="Y200" s="190">
        <v>31.52</v>
      </c>
      <c r="Z200" s="192">
        <v>0.76</v>
      </c>
      <c r="AA200" s="210">
        <v>65.1</v>
      </c>
      <c r="AB200" s="210">
        <v>199</v>
      </c>
      <c r="AC200" s="192">
        <v>8.314</v>
      </c>
      <c r="AD200" s="192">
        <v>7.44</v>
      </c>
      <c r="AE200" s="207">
        <v>0.87</v>
      </c>
      <c r="AF200" s="207">
        <v>8.314</v>
      </c>
      <c r="AG200" s="207">
        <v>8.314</v>
      </c>
      <c r="AH200" s="208">
        <v>82074000</v>
      </c>
      <c r="AI200" s="208">
        <v>46834000</v>
      </c>
      <c r="AJ200" s="208">
        <v>35240000</v>
      </c>
      <c r="AK200" s="208">
        <v>45318000</v>
      </c>
      <c r="AL200" s="208">
        <v>36756000</v>
      </c>
      <c r="AM200" s="208">
        <v>28713000</v>
      </c>
      <c r="AN200" s="208">
        <v>13824000</v>
      </c>
      <c r="AO200" s="208">
        <v>2781000</v>
      </c>
      <c r="AP200" s="231">
        <v>0</v>
      </c>
      <c r="AQ200" s="208">
        <v>18121000</v>
      </c>
      <c r="AR200" s="208">
        <v>18635000</v>
      </c>
      <c r="AS200" s="208">
        <v>82074000</v>
      </c>
      <c r="AT200" s="211">
        <v>94680000</v>
      </c>
      <c r="AU200" s="208">
        <v>53203000</v>
      </c>
      <c r="AV200" s="208">
        <v>41477000</v>
      </c>
      <c r="AW200" s="208"/>
      <c r="AX200" s="208">
        <v>43675000</v>
      </c>
      <c r="AY200" s="208">
        <v>8575000</v>
      </c>
      <c r="AZ200" s="208">
        <v>5532000</v>
      </c>
      <c r="BA200" s="190">
        <v>205870000</v>
      </c>
      <c r="BB200" s="208">
        <v>117136378</v>
      </c>
      <c r="BC200" s="208">
        <v>62220215</v>
      </c>
      <c r="BD200" s="208">
        <v>26513407</v>
      </c>
      <c r="BE200" s="231" t="s">
        <v>185</v>
      </c>
      <c r="BF200" s="190">
        <v>12393</v>
      </c>
      <c r="BG200" s="231" t="s">
        <v>185</v>
      </c>
      <c r="BH200" s="231">
        <v>326</v>
      </c>
      <c r="BI200" s="212"/>
    </row>
    <row r="201" spans="1:61" ht="15" customHeight="1">
      <c r="A201" s="205">
        <v>2005</v>
      </c>
      <c r="B201" s="237" t="s">
        <v>293</v>
      </c>
      <c r="C201" s="237"/>
      <c r="D201" s="208">
        <v>42.31</v>
      </c>
      <c r="E201" s="255">
        <v>1</v>
      </c>
      <c r="F201" s="205">
        <v>195</v>
      </c>
      <c r="G201" s="255" t="s">
        <v>292</v>
      </c>
      <c r="H201" s="255" t="s">
        <v>221</v>
      </c>
      <c r="I201" s="190">
        <v>42.31</v>
      </c>
      <c r="J201" s="208">
        <v>40.89</v>
      </c>
      <c r="K201" s="209">
        <v>1.42</v>
      </c>
      <c r="L201" s="209">
        <v>21.605</v>
      </c>
      <c r="M201" s="209">
        <v>3.865</v>
      </c>
      <c r="N201" s="208">
        <v>124.8</v>
      </c>
      <c r="O201" s="207">
        <v>11.55</v>
      </c>
      <c r="P201" s="207">
        <v>0.14</v>
      </c>
      <c r="Q201" s="207">
        <v>6.8</v>
      </c>
      <c r="R201" s="207">
        <v>4.4</v>
      </c>
      <c r="S201" s="207">
        <v>4.331</v>
      </c>
      <c r="T201" s="207">
        <v>0.066</v>
      </c>
      <c r="U201" s="207">
        <v>2</v>
      </c>
      <c r="V201" s="207">
        <v>0.4</v>
      </c>
      <c r="W201" s="246"/>
      <c r="X201" s="208">
        <v>106</v>
      </c>
      <c r="Y201" s="190">
        <v>32.61</v>
      </c>
      <c r="Z201" s="192">
        <v>0.79</v>
      </c>
      <c r="AA201" s="210">
        <v>65.1</v>
      </c>
      <c r="AB201" s="210">
        <v>101</v>
      </c>
      <c r="AC201" s="192">
        <v>8.027</v>
      </c>
      <c r="AD201" s="192">
        <v>7.49</v>
      </c>
      <c r="AE201" s="207">
        <v>0.54</v>
      </c>
      <c r="AF201" s="207">
        <v>8.027</v>
      </c>
      <c r="AG201" s="207">
        <v>8.027</v>
      </c>
      <c r="AH201" s="208">
        <v>83194000</v>
      </c>
      <c r="AI201" s="208">
        <v>48780000</v>
      </c>
      <c r="AJ201" s="208">
        <v>34414000</v>
      </c>
      <c r="AK201" s="208">
        <v>45729000</v>
      </c>
      <c r="AL201" s="208">
        <v>37465000</v>
      </c>
      <c r="AM201" s="208">
        <v>29657000</v>
      </c>
      <c r="AN201" s="208">
        <v>13435000</v>
      </c>
      <c r="AO201" s="208">
        <v>2637000</v>
      </c>
      <c r="AP201" s="231">
        <v>0</v>
      </c>
      <c r="AQ201" s="208">
        <v>19122000</v>
      </c>
      <c r="AR201" s="208">
        <v>18343000</v>
      </c>
      <c r="AS201" s="208">
        <v>83194000</v>
      </c>
      <c r="AT201" s="211">
        <v>106638000</v>
      </c>
      <c r="AU201" s="208">
        <v>58394000</v>
      </c>
      <c r="AV201" s="208">
        <v>48244000</v>
      </c>
      <c r="AW201" s="208"/>
      <c r="AX201" s="208">
        <v>45028000</v>
      </c>
      <c r="AY201" s="208">
        <v>7516000</v>
      </c>
      <c r="AZ201" s="208">
        <v>4036000</v>
      </c>
      <c r="BA201" s="190">
        <v>206744000</v>
      </c>
      <c r="BB201" s="208">
        <v>116531339</v>
      </c>
      <c r="BC201" s="208">
        <v>62301049</v>
      </c>
      <c r="BD201" s="208">
        <v>27911612</v>
      </c>
      <c r="BE201" s="231" t="s">
        <v>185</v>
      </c>
      <c r="BF201" s="190">
        <v>11021</v>
      </c>
      <c r="BG201" s="231" t="s">
        <v>185</v>
      </c>
      <c r="BH201" s="231">
        <v>326</v>
      </c>
      <c r="BI201" s="212"/>
    </row>
    <row r="202" spans="1:61" ht="15" customHeight="1">
      <c r="A202" s="205">
        <v>2006</v>
      </c>
      <c r="B202" s="238" t="s">
        <v>293</v>
      </c>
      <c r="C202" s="237"/>
      <c r="D202" s="208">
        <v>42.51</v>
      </c>
      <c r="E202" s="255">
        <v>1</v>
      </c>
      <c r="F202" s="205">
        <v>198</v>
      </c>
      <c r="G202" s="255" t="s">
        <v>292</v>
      </c>
      <c r="H202" s="255" t="s">
        <v>221</v>
      </c>
      <c r="I202" s="190">
        <v>42.51</v>
      </c>
      <c r="J202" s="208">
        <v>41</v>
      </c>
      <c r="K202" s="209">
        <v>1.509</v>
      </c>
      <c r="L202" s="209">
        <v>21.5</v>
      </c>
      <c r="M202" s="209">
        <v>5.478</v>
      </c>
      <c r="N202" s="208">
        <v>124.8</v>
      </c>
      <c r="O202" s="207">
        <v>11.61</v>
      </c>
      <c r="P202" s="207">
        <v>0.177</v>
      </c>
      <c r="Q202" s="207">
        <v>6.6</v>
      </c>
      <c r="R202" s="207">
        <v>4.4</v>
      </c>
      <c r="S202" s="207">
        <v>4.37</v>
      </c>
      <c r="T202" s="207">
        <v>0.029</v>
      </c>
      <c r="U202" s="207">
        <v>1.8</v>
      </c>
      <c r="V202" s="207">
        <v>0.4</v>
      </c>
      <c r="W202" s="246"/>
      <c r="X202" s="208">
        <v>95</v>
      </c>
      <c r="Y202" s="190">
        <v>29.92</v>
      </c>
      <c r="Z202" s="192">
        <v>0.79</v>
      </c>
      <c r="AA202" s="210">
        <v>65.1</v>
      </c>
      <c r="AB202" s="210">
        <v>217</v>
      </c>
      <c r="AC202" s="192">
        <v>8.027</v>
      </c>
      <c r="AD202" s="192">
        <v>7.38</v>
      </c>
      <c r="AE202" s="207">
        <v>0.651</v>
      </c>
      <c r="AF202" s="207">
        <v>8.027</v>
      </c>
      <c r="AG202" s="207">
        <v>8.03</v>
      </c>
      <c r="AH202" s="208">
        <v>104192000</v>
      </c>
      <c r="AI202" s="208">
        <v>61645000</v>
      </c>
      <c r="AJ202" s="208">
        <v>42547000</v>
      </c>
      <c r="AK202" s="208">
        <v>59058000</v>
      </c>
      <c r="AL202" s="208">
        <v>45134000</v>
      </c>
      <c r="AM202" s="208">
        <v>38796000</v>
      </c>
      <c r="AN202" s="208">
        <v>16815000</v>
      </c>
      <c r="AO202" s="208">
        <v>3447000</v>
      </c>
      <c r="AP202" s="231">
        <v>0</v>
      </c>
      <c r="AQ202" s="208">
        <v>22850000</v>
      </c>
      <c r="AR202" s="208">
        <v>22284000</v>
      </c>
      <c r="AS202" s="208">
        <v>104192000</v>
      </c>
      <c r="AT202" s="211">
        <v>126949000</v>
      </c>
      <c r="AU202" s="208">
        <v>72324000</v>
      </c>
      <c r="AV202" s="208">
        <v>54625000</v>
      </c>
      <c r="AW202" s="208"/>
      <c r="AX202" s="208">
        <v>56104000</v>
      </c>
      <c r="AY202" s="208">
        <v>7983000</v>
      </c>
      <c r="AZ202" s="208">
        <v>5528000</v>
      </c>
      <c r="BA202" s="190">
        <v>208378000</v>
      </c>
      <c r="BB202" s="208">
        <v>116592173</v>
      </c>
      <c r="BC202" s="208">
        <v>62240215</v>
      </c>
      <c r="BD202" s="208">
        <v>29545612</v>
      </c>
      <c r="BE202" s="231" t="s">
        <v>185</v>
      </c>
      <c r="BF202" s="190">
        <v>12666</v>
      </c>
      <c r="BG202" s="231" t="s">
        <v>185</v>
      </c>
      <c r="BH202" s="231">
        <v>326</v>
      </c>
      <c r="BI202" s="212"/>
    </row>
    <row r="203" spans="1:61" ht="15" customHeight="1">
      <c r="A203" s="205">
        <v>2007</v>
      </c>
      <c r="B203" s="236" t="s">
        <v>295</v>
      </c>
      <c r="C203" s="237"/>
      <c r="D203" s="208">
        <v>48.47</v>
      </c>
      <c r="E203" s="255">
        <v>1</v>
      </c>
      <c r="F203" s="205">
        <v>191</v>
      </c>
      <c r="G203" s="255" t="s">
        <v>292</v>
      </c>
      <c r="H203" s="255" t="s">
        <v>221</v>
      </c>
      <c r="I203" s="190">
        <v>48.47</v>
      </c>
      <c r="J203" s="208">
        <v>46.94</v>
      </c>
      <c r="K203" s="209">
        <v>1.529</v>
      </c>
      <c r="L203" s="209">
        <v>24.129</v>
      </c>
      <c r="M203" s="209">
        <v>6.153</v>
      </c>
      <c r="N203" s="208">
        <v>124.8</v>
      </c>
      <c r="O203" s="207">
        <v>11.72</v>
      </c>
      <c r="P203" s="207">
        <v>0.21</v>
      </c>
      <c r="Q203" s="207">
        <v>6.6</v>
      </c>
      <c r="R203" s="207">
        <v>4.4</v>
      </c>
      <c r="S203" s="207">
        <v>4.356</v>
      </c>
      <c r="T203" s="207">
        <v>0.044</v>
      </c>
      <c r="U203" s="207">
        <v>1.8</v>
      </c>
      <c r="V203" s="207">
        <v>0.4</v>
      </c>
      <c r="W203" s="246"/>
      <c r="X203" s="208">
        <v>94</v>
      </c>
      <c r="Y203" s="190">
        <v>35.96</v>
      </c>
      <c r="Z203" s="192">
        <v>0.89</v>
      </c>
      <c r="AA203" s="210">
        <v>65.1</v>
      </c>
      <c r="AB203" s="210">
        <v>377</v>
      </c>
      <c r="AC203" s="192">
        <v>8.027</v>
      </c>
      <c r="AD203" s="192">
        <v>7.35</v>
      </c>
      <c r="AE203" s="207">
        <v>0.675</v>
      </c>
      <c r="AF203" s="207">
        <v>8.03</v>
      </c>
      <c r="AG203" s="207">
        <v>8.03</v>
      </c>
      <c r="AH203" s="208">
        <v>113812000</v>
      </c>
      <c r="AI203" s="208">
        <v>68335000</v>
      </c>
      <c r="AJ203" s="208">
        <v>45477000</v>
      </c>
      <c r="AK203" s="208">
        <v>66239000</v>
      </c>
      <c r="AL203" s="208">
        <v>47573000</v>
      </c>
      <c r="AM203" s="208">
        <v>43593000</v>
      </c>
      <c r="AN203" s="208">
        <v>18541000</v>
      </c>
      <c r="AO203" s="208">
        <v>4105000</v>
      </c>
      <c r="AP203" s="231">
        <v>0</v>
      </c>
      <c r="AQ203" s="208">
        <v>24741000</v>
      </c>
      <c r="AR203" s="208">
        <v>22831000</v>
      </c>
      <c r="AS203" s="208">
        <v>113812000</v>
      </c>
      <c r="AT203" s="211">
        <v>142773000</v>
      </c>
      <c r="AU203" s="208">
        <v>78170000</v>
      </c>
      <c r="AV203" s="208">
        <v>64603000</v>
      </c>
      <c r="AW203" s="208"/>
      <c r="AX203" s="208">
        <v>63515000</v>
      </c>
      <c r="AY203" s="208">
        <v>13864000</v>
      </c>
      <c r="AZ203" s="208">
        <v>10410000</v>
      </c>
      <c r="BA203" s="190">
        <v>208631000</v>
      </c>
      <c r="BB203" s="208">
        <v>116574273</v>
      </c>
      <c r="BC203" s="208">
        <v>62302899</v>
      </c>
      <c r="BD203" s="208">
        <v>29753828</v>
      </c>
      <c r="BE203" s="231" t="s">
        <v>185</v>
      </c>
      <c r="BF203" s="190">
        <v>11159</v>
      </c>
      <c r="BG203" s="231" t="s">
        <v>185</v>
      </c>
      <c r="BH203" s="231">
        <v>326</v>
      </c>
      <c r="BI203" s="212"/>
    </row>
    <row r="204" spans="1:61" ht="15" customHeight="1">
      <c r="A204" s="205">
        <v>2008</v>
      </c>
      <c r="B204" s="237" t="s">
        <v>295</v>
      </c>
      <c r="C204" s="237"/>
      <c r="D204" s="208">
        <v>41.73</v>
      </c>
      <c r="E204" s="255">
        <v>1</v>
      </c>
      <c r="F204" s="205">
        <v>179</v>
      </c>
      <c r="G204" s="254" t="s">
        <v>184</v>
      </c>
      <c r="H204" s="255" t="s">
        <v>221</v>
      </c>
      <c r="I204" s="190">
        <v>41.73</v>
      </c>
      <c r="J204" s="208">
        <v>40.22</v>
      </c>
      <c r="K204" s="209">
        <v>1.51</v>
      </c>
      <c r="L204" s="209">
        <v>21.41</v>
      </c>
      <c r="M204" s="209">
        <v>6.33</v>
      </c>
      <c r="N204" s="208">
        <v>124.8</v>
      </c>
      <c r="O204" s="207">
        <v>11.77</v>
      </c>
      <c r="P204" s="207">
        <v>0.29</v>
      </c>
      <c r="Q204" s="207">
        <v>6.37</v>
      </c>
      <c r="R204" s="207">
        <v>4.29</v>
      </c>
      <c r="S204" s="207">
        <v>4.25</v>
      </c>
      <c r="T204" s="207">
        <v>0.04</v>
      </c>
      <c r="U204" s="207">
        <v>1.7</v>
      </c>
      <c r="V204" s="207">
        <v>0.37</v>
      </c>
      <c r="W204" s="246"/>
      <c r="X204" s="208">
        <v>108</v>
      </c>
      <c r="Y204" s="190">
        <v>27.03</v>
      </c>
      <c r="Z204" s="192">
        <v>1.13</v>
      </c>
      <c r="AA204" s="210">
        <v>65.1</v>
      </c>
      <c r="AB204" s="210">
        <v>397</v>
      </c>
      <c r="AC204" s="192">
        <v>5.51</v>
      </c>
      <c r="AD204" s="192">
        <v>2.89</v>
      </c>
      <c r="AE204" s="207">
        <v>2.27</v>
      </c>
      <c r="AF204" s="207">
        <v>5.51</v>
      </c>
      <c r="AG204" s="207">
        <v>5.51</v>
      </c>
      <c r="AH204" s="208">
        <v>106888500</v>
      </c>
      <c r="AI204" s="208">
        <v>65305400</v>
      </c>
      <c r="AJ204" s="208">
        <v>35188200</v>
      </c>
      <c r="AK204" s="208">
        <v>61967000</v>
      </c>
      <c r="AL204" s="208">
        <v>44921500</v>
      </c>
      <c r="AM204" s="208">
        <v>41747100</v>
      </c>
      <c r="AN204" s="208">
        <v>16630900</v>
      </c>
      <c r="AO204" s="208">
        <v>3589000</v>
      </c>
      <c r="AP204" s="231">
        <v>0</v>
      </c>
      <c r="AQ204" s="208">
        <v>23558300</v>
      </c>
      <c r="AR204" s="208">
        <v>18557300</v>
      </c>
      <c r="AS204" s="208">
        <v>106888500</v>
      </c>
      <c r="AT204" s="211">
        <v>140743600</v>
      </c>
      <c r="AU204" s="208">
        <v>81631300</v>
      </c>
      <c r="AV204" s="208">
        <v>59112300</v>
      </c>
      <c r="AW204" s="208"/>
      <c r="AX204" s="208">
        <v>58405100</v>
      </c>
      <c r="AY204" s="208">
        <v>10043500</v>
      </c>
      <c r="AZ204" s="208">
        <v>10930000</v>
      </c>
      <c r="BA204" s="190">
        <v>208789000</v>
      </c>
      <c r="BB204" s="208">
        <v>94769005</v>
      </c>
      <c r="BC204" s="208">
        <v>76201755</v>
      </c>
      <c r="BD204" s="208">
        <v>27356250</v>
      </c>
      <c r="BE204" s="231" t="s">
        <v>185</v>
      </c>
      <c r="BF204" s="190">
        <v>16367</v>
      </c>
      <c r="BG204" s="231" t="s">
        <v>185</v>
      </c>
      <c r="BH204" s="231">
        <v>326</v>
      </c>
      <c r="BI204" s="212"/>
    </row>
    <row r="205" spans="1:61" ht="15" customHeight="1">
      <c r="A205" s="205">
        <v>2009</v>
      </c>
      <c r="B205" s="237" t="s">
        <v>295</v>
      </c>
      <c r="C205" s="237"/>
      <c r="D205" s="208">
        <v>41.2</v>
      </c>
      <c r="E205" s="255">
        <v>1</v>
      </c>
      <c r="F205" s="205">
        <v>190</v>
      </c>
      <c r="G205" s="255" t="s">
        <v>184</v>
      </c>
      <c r="H205" s="255" t="s">
        <v>221</v>
      </c>
      <c r="I205" s="190">
        <v>41.2</v>
      </c>
      <c r="J205" s="208">
        <v>39.9</v>
      </c>
      <c r="K205" s="209">
        <v>1.3</v>
      </c>
      <c r="L205" s="209">
        <v>21.78</v>
      </c>
      <c r="M205" s="209">
        <v>6.94</v>
      </c>
      <c r="N205" s="208">
        <v>124.8</v>
      </c>
      <c r="O205" s="207">
        <v>11.84</v>
      </c>
      <c r="P205" s="207">
        <v>0.29</v>
      </c>
      <c r="Q205" s="207">
        <v>6.33</v>
      </c>
      <c r="R205" s="207">
        <v>4.26</v>
      </c>
      <c r="S205" s="207">
        <v>4.24</v>
      </c>
      <c r="T205" s="207">
        <v>0.02</v>
      </c>
      <c r="U205" s="207">
        <v>1.68</v>
      </c>
      <c r="V205" s="207">
        <v>0.39</v>
      </c>
      <c r="W205" s="246"/>
      <c r="X205" s="208">
        <v>122</v>
      </c>
      <c r="Y205" s="190">
        <v>29.18</v>
      </c>
      <c r="Z205" s="192">
        <v>1.54</v>
      </c>
      <c r="AA205" s="210">
        <v>65.1</v>
      </c>
      <c r="AB205" s="210">
        <v>444</v>
      </c>
      <c r="AC205" s="192">
        <v>5.5</v>
      </c>
      <c r="AD205" s="192">
        <v>2.7</v>
      </c>
      <c r="AE205" s="207">
        <v>2.3</v>
      </c>
      <c r="AF205" s="207">
        <v>5.5</v>
      </c>
      <c r="AG205" s="207">
        <v>5.5</v>
      </c>
      <c r="AH205" s="208">
        <v>117997800</v>
      </c>
      <c r="AI205" s="208">
        <v>71785700</v>
      </c>
      <c r="AJ205" s="208">
        <v>38622100</v>
      </c>
      <c r="AK205" s="208">
        <v>67891700</v>
      </c>
      <c r="AL205" s="208">
        <v>50106100</v>
      </c>
      <c r="AM205" s="208">
        <v>71785700</v>
      </c>
      <c r="AN205" s="208">
        <v>38622100</v>
      </c>
      <c r="AO205" s="208">
        <v>7590000</v>
      </c>
      <c r="AP205" s="231">
        <v>0</v>
      </c>
      <c r="AQ205" s="208">
        <v>26100900</v>
      </c>
      <c r="AR205" s="208">
        <v>20694600</v>
      </c>
      <c r="AS205" s="208">
        <v>116850000</v>
      </c>
      <c r="AT205" s="211">
        <v>164975000</v>
      </c>
      <c r="AU205" s="208">
        <v>91155400</v>
      </c>
      <c r="AV205" s="208">
        <v>73819600</v>
      </c>
      <c r="AW205" s="208"/>
      <c r="AX205" s="208">
        <v>63583519</v>
      </c>
      <c r="AY205" s="208">
        <v>8933800</v>
      </c>
      <c r="AZ205" s="208">
        <v>26497177</v>
      </c>
      <c r="BA205" s="190">
        <v>192685683</v>
      </c>
      <c r="BB205" s="208">
        <v>89989371</v>
      </c>
      <c r="BC205" s="208">
        <v>51643929</v>
      </c>
      <c r="BD205" s="208">
        <v>51052383</v>
      </c>
      <c r="BE205" s="231" t="s">
        <v>185</v>
      </c>
      <c r="BF205" s="190">
        <v>4906</v>
      </c>
      <c r="BG205" s="231" t="s">
        <v>185</v>
      </c>
      <c r="BH205" s="231">
        <v>326</v>
      </c>
      <c r="BI205" s="111">
        <v>1.95</v>
      </c>
    </row>
    <row r="206" spans="1:61" ht="15" customHeight="1">
      <c r="A206" s="205">
        <v>2010</v>
      </c>
      <c r="B206" s="238" t="s">
        <v>295</v>
      </c>
      <c r="C206" s="238"/>
      <c r="D206" s="208">
        <v>41</v>
      </c>
      <c r="E206" s="256">
        <v>1</v>
      </c>
      <c r="F206" s="205">
        <v>201</v>
      </c>
      <c r="G206" s="256" t="s">
        <v>184</v>
      </c>
      <c r="H206" s="256" t="s">
        <v>221</v>
      </c>
      <c r="I206" s="190">
        <v>41</v>
      </c>
      <c r="J206" s="208">
        <v>39.96</v>
      </c>
      <c r="K206" s="209">
        <v>1.4</v>
      </c>
      <c r="L206" s="209">
        <v>21.82</v>
      </c>
      <c r="M206" s="209">
        <v>7.36</v>
      </c>
      <c r="N206" s="208">
        <v>124.8</v>
      </c>
      <c r="O206" s="207">
        <v>11.69</v>
      </c>
      <c r="P206" s="207">
        <v>0.25</v>
      </c>
      <c r="Q206" s="207">
        <v>6.14</v>
      </c>
      <c r="R206" s="207">
        <v>4.15</v>
      </c>
      <c r="S206" s="207">
        <v>4.13</v>
      </c>
      <c r="T206" s="207">
        <v>0.02</v>
      </c>
      <c r="U206" s="207">
        <v>1.7</v>
      </c>
      <c r="V206" s="207">
        <v>0.29</v>
      </c>
      <c r="W206" s="247"/>
      <c r="X206" s="208">
        <v>126</v>
      </c>
      <c r="Y206" s="190">
        <v>28.9</v>
      </c>
      <c r="Z206" s="192">
        <v>1.54</v>
      </c>
      <c r="AA206" s="213">
        <v>65.1</v>
      </c>
      <c r="AB206" s="213">
        <v>516</v>
      </c>
      <c r="AC206" s="192">
        <v>5.42</v>
      </c>
      <c r="AD206" s="192">
        <v>2.82</v>
      </c>
      <c r="AE206" s="207">
        <v>2.6</v>
      </c>
      <c r="AF206" s="207">
        <v>5.42</v>
      </c>
      <c r="AG206" s="207">
        <v>5.42</v>
      </c>
      <c r="AH206" s="208">
        <v>139921600</v>
      </c>
      <c r="AI206" s="208">
        <v>77488700</v>
      </c>
      <c r="AJ206" s="208">
        <v>56425200</v>
      </c>
      <c r="AK206" s="208">
        <v>73750400</v>
      </c>
      <c r="AL206" s="208">
        <v>66171200</v>
      </c>
      <c r="AM206" s="208">
        <v>49870200</v>
      </c>
      <c r="AN206" s="208">
        <v>20478500</v>
      </c>
      <c r="AO206" s="208">
        <v>3401800</v>
      </c>
      <c r="AP206" s="232">
        <v>0</v>
      </c>
      <c r="AQ206" s="208">
        <v>27618500</v>
      </c>
      <c r="AR206" s="208">
        <v>35946700</v>
      </c>
      <c r="AS206" s="208">
        <v>137910000</v>
      </c>
      <c r="AT206" s="211">
        <v>214659600</v>
      </c>
      <c r="AU206" s="208">
        <v>114211500</v>
      </c>
      <c r="AV206" s="208">
        <v>100448100</v>
      </c>
      <c r="AW206" s="208"/>
      <c r="AX206" s="208">
        <v>73400900</v>
      </c>
      <c r="AY206" s="208">
        <v>10106200</v>
      </c>
      <c r="AZ206" s="208">
        <v>32100754</v>
      </c>
      <c r="BA206" s="190">
        <v>223898560</v>
      </c>
      <c r="BB206" s="208">
        <v>91662384</v>
      </c>
      <c r="BC206" s="208">
        <v>66664214</v>
      </c>
      <c r="BD206" s="208">
        <v>66571962</v>
      </c>
      <c r="BE206" s="232" t="s">
        <v>185</v>
      </c>
      <c r="BF206" s="190">
        <v>5258</v>
      </c>
      <c r="BG206" s="232" t="s">
        <v>185</v>
      </c>
      <c r="BH206" s="232">
        <v>326</v>
      </c>
      <c r="BI206" s="111">
        <v>1.98</v>
      </c>
    </row>
    <row r="207" spans="1:60" s="74" customFormat="1" ht="6" customHeight="1" thickBot="1">
      <c r="A207" s="76"/>
      <c r="B207" s="81"/>
      <c r="C207" s="81"/>
      <c r="D207" s="75"/>
      <c r="E207" s="78"/>
      <c r="H207" s="82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4"/>
      <c r="U207" s="83"/>
      <c r="V207" s="83"/>
      <c r="W207" s="83"/>
      <c r="X207" s="78"/>
      <c r="Y207" s="83"/>
      <c r="Z207" s="83"/>
      <c r="AA207" s="83"/>
      <c r="AB207" s="78"/>
      <c r="AC207" s="83"/>
      <c r="AD207" s="83"/>
      <c r="AE207" s="83"/>
      <c r="AF207" s="83"/>
      <c r="AG207" s="83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85"/>
    </row>
    <row r="208" spans="1:61" ht="15" customHeight="1">
      <c r="A208" s="124">
        <v>2000</v>
      </c>
      <c r="B208" s="292" t="s">
        <v>296</v>
      </c>
      <c r="C208" s="292" t="s">
        <v>297</v>
      </c>
      <c r="D208" s="127">
        <v>45.9</v>
      </c>
      <c r="E208" s="242">
        <v>2</v>
      </c>
      <c r="F208" s="124">
        <v>249</v>
      </c>
      <c r="G208" s="254" t="s">
        <v>186</v>
      </c>
      <c r="H208" s="254" t="s">
        <v>187</v>
      </c>
      <c r="I208" s="126">
        <v>38</v>
      </c>
      <c r="J208" s="127">
        <v>35.8</v>
      </c>
      <c r="K208" s="150">
        <v>2.2</v>
      </c>
      <c r="L208" s="150">
        <v>5.7</v>
      </c>
      <c r="M208" s="150">
        <v>0.6</v>
      </c>
      <c r="N208" s="127">
        <v>152.4</v>
      </c>
      <c r="O208" s="128">
        <v>7.18</v>
      </c>
      <c r="P208" s="128">
        <v>3.84</v>
      </c>
      <c r="Q208" s="128">
        <v>6.16</v>
      </c>
      <c r="R208" s="128">
        <v>2.45</v>
      </c>
      <c r="S208" s="128">
        <v>2.43</v>
      </c>
      <c r="T208" s="128">
        <v>0.02</v>
      </c>
      <c r="U208" s="128">
        <v>3.64</v>
      </c>
      <c r="V208" s="128">
        <v>0.07</v>
      </c>
      <c r="W208" s="260" t="s">
        <v>185</v>
      </c>
      <c r="X208" s="127">
        <v>71</v>
      </c>
      <c r="Y208" s="126">
        <v>26.8</v>
      </c>
      <c r="Z208" s="129">
        <v>0.6</v>
      </c>
      <c r="AA208" s="130">
        <v>97.45</v>
      </c>
      <c r="AB208" s="130">
        <v>525</v>
      </c>
      <c r="AC208" s="128">
        <v>4.69</v>
      </c>
      <c r="AD208" s="129">
        <v>1.63</v>
      </c>
      <c r="AE208" s="128">
        <v>2.02</v>
      </c>
      <c r="AF208" s="128">
        <v>4.69</v>
      </c>
      <c r="AG208" s="128">
        <v>4.69</v>
      </c>
      <c r="AH208" s="127">
        <v>103689410</v>
      </c>
      <c r="AI208" s="127">
        <v>45924428</v>
      </c>
      <c r="AJ208" s="127">
        <v>57764982</v>
      </c>
      <c r="AK208" s="127">
        <v>50482463</v>
      </c>
      <c r="AL208" s="127">
        <v>53206947</v>
      </c>
      <c r="AM208" s="127">
        <v>22190980</v>
      </c>
      <c r="AN208" s="127">
        <v>27733545</v>
      </c>
      <c r="AO208" s="127">
        <v>557938</v>
      </c>
      <c r="AP208" s="248">
        <v>0</v>
      </c>
      <c r="AQ208" s="127">
        <v>23733448</v>
      </c>
      <c r="AR208" s="127">
        <v>29473499</v>
      </c>
      <c r="AS208" s="127">
        <v>132906330</v>
      </c>
      <c r="AT208" s="131">
        <v>113355276</v>
      </c>
      <c r="AU208" s="127">
        <v>59148395</v>
      </c>
      <c r="AV208" s="127">
        <v>54206881</v>
      </c>
      <c r="AW208" s="127"/>
      <c r="AX208" s="127">
        <v>41627000</v>
      </c>
      <c r="AY208" s="127">
        <v>34496465</v>
      </c>
      <c r="AZ208" s="248" t="s">
        <v>185</v>
      </c>
      <c r="BA208" s="126">
        <v>128773273</v>
      </c>
      <c r="BB208" s="127">
        <v>54084774</v>
      </c>
      <c r="BC208" s="127">
        <v>74688498</v>
      </c>
      <c r="BD208" s="127"/>
      <c r="BE208" s="248" t="s">
        <v>185</v>
      </c>
      <c r="BF208" s="126">
        <v>15117717</v>
      </c>
      <c r="BG208" s="233" t="s">
        <v>185</v>
      </c>
      <c r="BH208" s="248">
        <v>180</v>
      </c>
      <c r="BI208" s="109"/>
    </row>
    <row r="209" spans="1:61" ht="15" customHeight="1">
      <c r="A209" s="124">
        <v>2001</v>
      </c>
      <c r="B209" s="274" t="s">
        <v>296</v>
      </c>
      <c r="C209" s="274" t="s">
        <v>297</v>
      </c>
      <c r="D209" s="127">
        <v>45.1</v>
      </c>
      <c r="E209" s="272">
        <v>2</v>
      </c>
      <c r="F209" s="124">
        <v>245</v>
      </c>
      <c r="G209" s="274" t="s">
        <v>186</v>
      </c>
      <c r="H209" s="274" t="s">
        <v>187</v>
      </c>
      <c r="I209" s="126">
        <v>37.8</v>
      </c>
      <c r="J209" s="127">
        <v>35.8</v>
      </c>
      <c r="K209" s="150">
        <v>2</v>
      </c>
      <c r="L209" s="150">
        <v>5.7</v>
      </c>
      <c r="M209" s="150">
        <v>0.7</v>
      </c>
      <c r="N209" s="127">
        <v>152.4</v>
      </c>
      <c r="O209" s="128">
        <v>7.31</v>
      </c>
      <c r="P209" s="128">
        <v>3.91</v>
      </c>
      <c r="Q209" s="128">
        <v>6.03</v>
      </c>
      <c r="R209" s="128">
        <v>2.25</v>
      </c>
      <c r="S209" s="128">
        <v>2.23</v>
      </c>
      <c r="T209" s="128">
        <v>0.02</v>
      </c>
      <c r="U209" s="128">
        <v>3.71</v>
      </c>
      <c r="V209" s="128">
        <v>0.07</v>
      </c>
      <c r="W209" s="272"/>
      <c r="X209" s="127">
        <v>107</v>
      </c>
      <c r="Y209" s="126">
        <v>26.7</v>
      </c>
      <c r="Z209" s="129">
        <v>0.6</v>
      </c>
      <c r="AA209" s="130">
        <v>97.45</v>
      </c>
      <c r="AB209" s="130">
        <v>528</v>
      </c>
      <c r="AC209" s="128">
        <v>5</v>
      </c>
      <c r="AD209" s="129">
        <v>1.73</v>
      </c>
      <c r="AE209" s="128">
        <v>2.07</v>
      </c>
      <c r="AF209" s="128">
        <v>5</v>
      </c>
      <c r="AG209" s="128">
        <v>5</v>
      </c>
      <c r="AH209" s="127">
        <v>117614006</v>
      </c>
      <c r="AI209" s="127">
        <v>48613285</v>
      </c>
      <c r="AJ209" s="127">
        <v>69000721</v>
      </c>
      <c r="AK209" s="127">
        <v>59017091</v>
      </c>
      <c r="AL209" s="127">
        <v>58596915</v>
      </c>
      <c r="AM209" s="127">
        <v>22690947</v>
      </c>
      <c r="AN209" s="127">
        <v>35609764</v>
      </c>
      <c r="AO209" s="127">
        <v>716380</v>
      </c>
      <c r="AP209" s="308">
        <v>0</v>
      </c>
      <c r="AQ209" s="127">
        <v>25922338</v>
      </c>
      <c r="AR209" s="127">
        <v>32674577</v>
      </c>
      <c r="AS209" s="127">
        <v>141834264</v>
      </c>
      <c r="AT209" s="131">
        <v>126562427</v>
      </c>
      <c r="AU209" s="127">
        <v>65519415</v>
      </c>
      <c r="AV209" s="127">
        <v>61043012</v>
      </c>
      <c r="AW209" s="127"/>
      <c r="AX209" s="127">
        <v>42210000</v>
      </c>
      <c r="AY209" s="127">
        <v>39354896</v>
      </c>
      <c r="AZ209" s="308" t="s">
        <v>185</v>
      </c>
      <c r="BA209" s="126">
        <v>118681596</v>
      </c>
      <c r="BB209" s="127">
        <v>49846270</v>
      </c>
      <c r="BC209" s="127">
        <v>68835326</v>
      </c>
      <c r="BD209" s="127"/>
      <c r="BE209" s="308" t="s">
        <v>185</v>
      </c>
      <c r="BF209" s="126">
        <v>13711137</v>
      </c>
      <c r="BG209" s="234"/>
      <c r="BH209" s="308">
        <v>180</v>
      </c>
      <c r="BI209" s="109"/>
    </row>
    <row r="210" spans="1:61" ht="15" customHeight="1">
      <c r="A210" s="124">
        <v>2002</v>
      </c>
      <c r="B210" s="274" t="s">
        <v>296</v>
      </c>
      <c r="C210" s="274" t="s">
        <v>297</v>
      </c>
      <c r="D210" s="127">
        <v>44.6</v>
      </c>
      <c r="E210" s="272">
        <v>2</v>
      </c>
      <c r="F210" s="124">
        <v>239</v>
      </c>
      <c r="G210" s="274" t="s">
        <v>186</v>
      </c>
      <c r="H210" s="274" t="s">
        <v>187</v>
      </c>
      <c r="I210" s="126">
        <v>36.9</v>
      </c>
      <c r="J210" s="127">
        <v>35</v>
      </c>
      <c r="K210" s="150">
        <v>1.9</v>
      </c>
      <c r="L210" s="150">
        <v>5.7</v>
      </c>
      <c r="M210" s="150">
        <v>1</v>
      </c>
      <c r="N210" s="127">
        <v>152.4</v>
      </c>
      <c r="O210" s="128">
        <v>7.29</v>
      </c>
      <c r="P210" s="128">
        <v>3.94</v>
      </c>
      <c r="Q210" s="128">
        <v>5.88</v>
      </c>
      <c r="R210" s="128">
        <v>2.21</v>
      </c>
      <c r="S210" s="128">
        <v>2.19</v>
      </c>
      <c r="T210" s="128">
        <v>0.02</v>
      </c>
      <c r="U210" s="128">
        <v>3.6</v>
      </c>
      <c r="V210" s="128">
        <v>0.07</v>
      </c>
      <c r="W210" s="272"/>
      <c r="X210" s="127">
        <v>117</v>
      </c>
      <c r="Y210" s="126">
        <v>26.1</v>
      </c>
      <c r="Z210" s="129">
        <v>0.6</v>
      </c>
      <c r="AA210" s="130">
        <v>97.45</v>
      </c>
      <c r="AB210" s="130">
        <v>540</v>
      </c>
      <c r="AC210" s="128">
        <v>4.88</v>
      </c>
      <c r="AD210" s="129">
        <v>1.81</v>
      </c>
      <c r="AE210" s="128">
        <v>2.21</v>
      </c>
      <c r="AF210" s="128">
        <v>4.88</v>
      </c>
      <c r="AG210" s="128">
        <v>4.88</v>
      </c>
      <c r="AH210" s="127">
        <v>129897583</v>
      </c>
      <c r="AI210" s="127">
        <v>54712479</v>
      </c>
      <c r="AJ210" s="127">
        <v>75185104</v>
      </c>
      <c r="AK210" s="127">
        <v>65941602</v>
      </c>
      <c r="AL210" s="127">
        <v>63955981</v>
      </c>
      <c r="AM210" s="127">
        <v>24782076</v>
      </c>
      <c r="AN210" s="127">
        <v>40363515</v>
      </c>
      <c r="AO210" s="127">
        <v>796011</v>
      </c>
      <c r="AP210" s="308">
        <v>0</v>
      </c>
      <c r="AQ210" s="127">
        <v>29930403</v>
      </c>
      <c r="AR210" s="127">
        <v>34025578</v>
      </c>
      <c r="AS210" s="127">
        <v>139932593</v>
      </c>
      <c r="AT210" s="131">
        <v>131315951</v>
      </c>
      <c r="AU210" s="127">
        <v>70933531</v>
      </c>
      <c r="AV210" s="127">
        <v>60382420</v>
      </c>
      <c r="AW210" s="127"/>
      <c r="AX210" s="127">
        <v>42206000</v>
      </c>
      <c r="AY210" s="127">
        <v>39795350</v>
      </c>
      <c r="AZ210" s="308" t="s">
        <v>185</v>
      </c>
      <c r="BA210" s="126">
        <v>110659012</v>
      </c>
      <c r="BB210" s="127">
        <v>46476785</v>
      </c>
      <c r="BC210" s="127">
        <v>64182227</v>
      </c>
      <c r="BD210" s="127"/>
      <c r="BE210" s="308" t="s">
        <v>185</v>
      </c>
      <c r="BF210" s="126">
        <v>19274649</v>
      </c>
      <c r="BG210" s="235"/>
      <c r="BH210" s="308">
        <v>180</v>
      </c>
      <c r="BI210" s="109"/>
    </row>
    <row r="211" spans="1:61" ht="15" customHeight="1">
      <c r="A211" s="124">
        <v>2003</v>
      </c>
      <c r="B211" s="274" t="s">
        <v>296</v>
      </c>
      <c r="C211" s="274" t="s">
        <v>297</v>
      </c>
      <c r="D211" s="127">
        <v>44.2</v>
      </c>
      <c r="E211" s="272">
        <v>2</v>
      </c>
      <c r="F211" s="124">
        <v>248</v>
      </c>
      <c r="G211" s="274" t="s">
        <v>186</v>
      </c>
      <c r="H211" s="274" t="s">
        <v>187</v>
      </c>
      <c r="I211" s="126">
        <v>36.2</v>
      </c>
      <c r="J211" s="127">
        <v>34.4</v>
      </c>
      <c r="K211" s="150">
        <v>1.8</v>
      </c>
      <c r="L211" s="150">
        <v>5.7</v>
      </c>
      <c r="M211" s="150">
        <v>1.8</v>
      </c>
      <c r="N211" s="127">
        <v>156.1</v>
      </c>
      <c r="O211" s="128">
        <v>6.99</v>
      </c>
      <c r="P211" s="128">
        <v>3.84</v>
      </c>
      <c r="Q211" s="128">
        <v>5.29</v>
      </c>
      <c r="R211" s="128">
        <v>1.95</v>
      </c>
      <c r="S211" s="128">
        <v>1.93</v>
      </c>
      <c r="T211" s="128">
        <v>0.02</v>
      </c>
      <c r="U211" s="128">
        <v>3.27</v>
      </c>
      <c r="V211" s="128">
        <v>0.07</v>
      </c>
      <c r="W211" s="272"/>
      <c r="X211" s="127">
        <v>169</v>
      </c>
      <c r="Y211" s="126">
        <v>25.6</v>
      </c>
      <c r="Z211" s="129">
        <v>0.6</v>
      </c>
      <c r="AA211" s="130">
        <v>97.46</v>
      </c>
      <c r="AB211" s="130">
        <v>634</v>
      </c>
      <c r="AC211" s="128">
        <v>4.94</v>
      </c>
      <c r="AD211" s="129">
        <v>1.63</v>
      </c>
      <c r="AE211" s="128">
        <v>2.02</v>
      </c>
      <c r="AF211" s="128">
        <v>4.94</v>
      </c>
      <c r="AG211" s="128">
        <v>4.94</v>
      </c>
      <c r="AH211" s="127">
        <v>117848984</v>
      </c>
      <c r="AI211" s="127">
        <v>47010160</v>
      </c>
      <c r="AJ211" s="127">
        <v>70838824</v>
      </c>
      <c r="AK211" s="127">
        <v>60328248</v>
      </c>
      <c r="AL211" s="127">
        <v>57520736</v>
      </c>
      <c r="AM211" s="127">
        <v>21842794</v>
      </c>
      <c r="AN211" s="127">
        <v>37638426</v>
      </c>
      <c r="AO211" s="127">
        <v>847028</v>
      </c>
      <c r="AP211" s="308">
        <v>0</v>
      </c>
      <c r="AQ211" s="127">
        <v>25167366</v>
      </c>
      <c r="AR211" s="127">
        <v>32353370</v>
      </c>
      <c r="AS211" s="127">
        <v>140630172</v>
      </c>
      <c r="AT211" s="131">
        <v>133634147</v>
      </c>
      <c r="AU211" s="127">
        <v>73084361</v>
      </c>
      <c r="AV211" s="127">
        <v>60549786</v>
      </c>
      <c r="AW211" s="127"/>
      <c r="AX211" s="127">
        <v>43047000</v>
      </c>
      <c r="AY211" s="127">
        <v>41196350</v>
      </c>
      <c r="AZ211" s="308" t="s">
        <v>185</v>
      </c>
      <c r="BA211" s="126">
        <v>104386444</v>
      </c>
      <c r="BB211" s="127">
        <v>43842306</v>
      </c>
      <c r="BC211" s="127">
        <v>60544138</v>
      </c>
      <c r="BD211" s="127"/>
      <c r="BE211" s="308" t="s">
        <v>185</v>
      </c>
      <c r="BF211" s="126">
        <v>18410809</v>
      </c>
      <c r="BG211" s="123">
        <v>1991555</v>
      </c>
      <c r="BH211" s="308">
        <v>180</v>
      </c>
      <c r="BI211" s="109"/>
    </row>
    <row r="212" spans="1:61" ht="15" customHeight="1">
      <c r="A212" s="124">
        <v>2004</v>
      </c>
      <c r="B212" s="274" t="s">
        <v>296</v>
      </c>
      <c r="C212" s="274" t="s">
        <v>297</v>
      </c>
      <c r="D212" s="127">
        <v>43.8</v>
      </c>
      <c r="E212" s="272">
        <v>2</v>
      </c>
      <c r="F212" s="124">
        <v>246</v>
      </c>
      <c r="G212" s="274" t="s">
        <v>186</v>
      </c>
      <c r="H212" s="274" t="s">
        <v>187</v>
      </c>
      <c r="I212" s="126">
        <v>35.1</v>
      </c>
      <c r="J212" s="127">
        <v>33.2</v>
      </c>
      <c r="K212" s="150">
        <v>1.9</v>
      </c>
      <c r="L212" s="150">
        <v>5.7</v>
      </c>
      <c r="M212" s="150">
        <v>2.1</v>
      </c>
      <c r="N212" s="127">
        <v>156.1</v>
      </c>
      <c r="O212" s="128">
        <v>7.14</v>
      </c>
      <c r="P212" s="128">
        <v>3.94</v>
      </c>
      <c r="Q212" s="128">
        <v>5.39</v>
      </c>
      <c r="R212" s="128">
        <v>1.98</v>
      </c>
      <c r="S212" s="128">
        <v>1.96</v>
      </c>
      <c r="T212" s="128">
        <v>0.02</v>
      </c>
      <c r="U212" s="128">
        <v>3.34</v>
      </c>
      <c r="V212" s="128">
        <v>0.07</v>
      </c>
      <c r="W212" s="272"/>
      <c r="X212" s="127">
        <v>190</v>
      </c>
      <c r="Y212" s="126">
        <v>24.8</v>
      </c>
      <c r="Z212" s="129">
        <v>0.6</v>
      </c>
      <c r="AA212" s="130">
        <v>97.46</v>
      </c>
      <c r="AB212" s="130">
        <v>625</v>
      </c>
      <c r="AC212" s="128">
        <v>4.79</v>
      </c>
      <c r="AD212" s="129">
        <v>1.65</v>
      </c>
      <c r="AE212" s="128">
        <v>2.13</v>
      </c>
      <c r="AF212" s="128">
        <v>4.79</v>
      </c>
      <c r="AG212" s="128">
        <v>4.79</v>
      </c>
      <c r="AH212" s="127">
        <v>128217914</v>
      </c>
      <c r="AI212" s="127">
        <v>49692261</v>
      </c>
      <c r="AJ212" s="127">
        <v>78525653</v>
      </c>
      <c r="AK212" s="127">
        <v>68627914</v>
      </c>
      <c r="AL212" s="127">
        <v>59590000</v>
      </c>
      <c r="AM212" s="127">
        <v>24463775</v>
      </c>
      <c r="AN212" s="127">
        <v>43424457</v>
      </c>
      <c r="AO212" s="127">
        <v>739682</v>
      </c>
      <c r="AP212" s="308">
        <v>0</v>
      </c>
      <c r="AQ212" s="127">
        <v>25228486</v>
      </c>
      <c r="AR212" s="127">
        <v>34361514</v>
      </c>
      <c r="AS212" s="127">
        <v>149070300</v>
      </c>
      <c r="AT212" s="131">
        <v>136179425</v>
      </c>
      <c r="AU212" s="127">
        <v>74115890</v>
      </c>
      <c r="AV212" s="127">
        <v>62063535</v>
      </c>
      <c r="AW212" s="127"/>
      <c r="AX212" s="127">
        <v>41235000</v>
      </c>
      <c r="AY212" s="127">
        <v>38941597</v>
      </c>
      <c r="AZ212" s="308" t="s">
        <v>185</v>
      </c>
      <c r="BA212" s="126">
        <v>96330315</v>
      </c>
      <c r="BB212" s="127">
        <v>40458732</v>
      </c>
      <c r="BC212" s="127">
        <v>55871583</v>
      </c>
      <c r="BD212" s="127"/>
      <c r="BE212" s="308" t="s">
        <v>185</v>
      </c>
      <c r="BF212" s="126">
        <v>22727502</v>
      </c>
      <c r="BG212" s="123">
        <v>1132041</v>
      </c>
      <c r="BH212" s="308">
        <v>180</v>
      </c>
      <c r="BI212" s="109"/>
    </row>
    <row r="213" spans="1:61" ht="15" customHeight="1">
      <c r="A213" s="124">
        <v>2005</v>
      </c>
      <c r="B213" s="274" t="s">
        <v>296</v>
      </c>
      <c r="C213" s="274" t="s">
        <v>297</v>
      </c>
      <c r="D213" s="127">
        <v>43.1</v>
      </c>
      <c r="E213" s="272">
        <v>2</v>
      </c>
      <c r="F213" s="124">
        <v>247</v>
      </c>
      <c r="G213" s="274" t="s">
        <v>186</v>
      </c>
      <c r="H213" s="274" t="s">
        <v>187</v>
      </c>
      <c r="I213" s="126">
        <v>34.8</v>
      </c>
      <c r="J213" s="127">
        <v>32.9</v>
      </c>
      <c r="K213" s="150">
        <v>1.9</v>
      </c>
      <c r="L213" s="150">
        <v>5.7</v>
      </c>
      <c r="M213" s="150">
        <v>2.5</v>
      </c>
      <c r="N213" s="127">
        <v>156.1</v>
      </c>
      <c r="O213" s="128">
        <v>7.15</v>
      </c>
      <c r="P213" s="128">
        <v>4.13</v>
      </c>
      <c r="Q213" s="128">
        <v>5.36</v>
      </c>
      <c r="R213" s="128">
        <v>1.99</v>
      </c>
      <c r="S213" s="128">
        <v>1.97</v>
      </c>
      <c r="T213" s="128">
        <v>0.02</v>
      </c>
      <c r="U213" s="128">
        <v>3.3</v>
      </c>
      <c r="V213" s="128">
        <v>0.07</v>
      </c>
      <c r="W213" s="272"/>
      <c r="X213" s="127">
        <v>172</v>
      </c>
      <c r="Y213" s="126">
        <v>24.6</v>
      </c>
      <c r="Z213" s="129">
        <v>0.6</v>
      </c>
      <c r="AA213" s="130">
        <v>97.46</v>
      </c>
      <c r="AB213" s="130">
        <v>693</v>
      </c>
      <c r="AC213" s="128">
        <v>4.96</v>
      </c>
      <c r="AD213" s="129">
        <v>1.57</v>
      </c>
      <c r="AE213" s="128">
        <v>2</v>
      </c>
      <c r="AF213" s="128">
        <v>4.96</v>
      </c>
      <c r="AG213" s="128">
        <v>4.96</v>
      </c>
      <c r="AH213" s="127">
        <v>121481078</v>
      </c>
      <c r="AI213" s="127">
        <v>48132364</v>
      </c>
      <c r="AJ213" s="127">
        <v>73348714</v>
      </c>
      <c r="AK213" s="127">
        <v>67204065</v>
      </c>
      <c r="AL213" s="127">
        <v>54277013</v>
      </c>
      <c r="AM213" s="127">
        <v>25007801</v>
      </c>
      <c r="AN213" s="127">
        <v>41276899</v>
      </c>
      <c r="AO213" s="127">
        <v>919365</v>
      </c>
      <c r="AP213" s="308">
        <v>0</v>
      </c>
      <c r="AQ213" s="127">
        <v>23124563</v>
      </c>
      <c r="AR213" s="127">
        <v>31152450</v>
      </c>
      <c r="AS213" s="127">
        <v>148737327</v>
      </c>
      <c r="AT213" s="131">
        <v>134250540</v>
      </c>
      <c r="AU213" s="127">
        <v>72138159</v>
      </c>
      <c r="AV213" s="127">
        <v>62112381</v>
      </c>
      <c r="AW213" s="127"/>
      <c r="AX213" s="127">
        <v>42163700</v>
      </c>
      <c r="AY213" s="127">
        <v>43149982</v>
      </c>
      <c r="AZ213" s="308" t="s">
        <v>185</v>
      </c>
      <c r="BA213" s="126">
        <v>89736045</v>
      </c>
      <c r="BB213" s="127">
        <v>37689139</v>
      </c>
      <c r="BC213" s="127">
        <v>52046906</v>
      </c>
      <c r="BD213" s="127"/>
      <c r="BE213" s="308" t="s">
        <v>185</v>
      </c>
      <c r="BF213" s="126">
        <v>22108512</v>
      </c>
      <c r="BG213" s="123" t="s">
        <v>185</v>
      </c>
      <c r="BH213" s="308">
        <v>180</v>
      </c>
      <c r="BI213" s="109"/>
    </row>
    <row r="214" spans="1:61" ht="15" customHeight="1">
      <c r="A214" s="124">
        <v>2006</v>
      </c>
      <c r="B214" s="274" t="s">
        <v>296</v>
      </c>
      <c r="C214" s="274" t="s">
        <v>297</v>
      </c>
      <c r="D214" s="127">
        <v>43.3</v>
      </c>
      <c r="E214" s="272">
        <v>2</v>
      </c>
      <c r="F214" s="124">
        <v>237</v>
      </c>
      <c r="G214" s="274" t="s">
        <v>186</v>
      </c>
      <c r="H214" s="274" t="s">
        <v>187</v>
      </c>
      <c r="I214" s="126">
        <v>34</v>
      </c>
      <c r="J214" s="127">
        <v>32.8</v>
      </c>
      <c r="K214" s="150">
        <v>1.2</v>
      </c>
      <c r="L214" s="150">
        <v>5.7</v>
      </c>
      <c r="M214" s="150">
        <v>3.3</v>
      </c>
      <c r="N214" s="127">
        <v>156.1</v>
      </c>
      <c r="O214" s="128">
        <v>6.44</v>
      </c>
      <c r="P214" s="128">
        <v>3.71</v>
      </c>
      <c r="Q214" s="128">
        <v>4.87</v>
      </c>
      <c r="R214" s="128">
        <v>1.94</v>
      </c>
      <c r="S214" s="128">
        <v>1.92</v>
      </c>
      <c r="T214" s="128">
        <v>0.02</v>
      </c>
      <c r="U214" s="128">
        <v>2.87</v>
      </c>
      <c r="V214" s="128">
        <v>0.06</v>
      </c>
      <c r="W214" s="272"/>
      <c r="X214" s="127">
        <v>258</v>
      </c>
      <c r="Y214" s="126">
        <v>24.1</v>
      </c>
      <c r="Z214" s="129">
        <v>0.6</v>
      </c>
      <c r="AA214" s="130">
        <v>97.46</v>
      </c>
      <c r="AB214" s="130">
        <v>771</v>
      </c>
      <c r="AC214" s="128">
        <v>4.74</v>
      </c>
      <c r="AD214" s="129">
        <v>1.49</v>
      </c>
      <c r="AE214" s="128">
        <v>0.85</v>
      </c>
      <c r="AF214" s="128">
        <v>4.74</v>
      </c>
      <c r="AG214" s="128">
        <v>4.74</v>
      </c>
      <c r="AH214" s="127">
        <v>112184494</v>
      </c>
      <c r="AI214" s="127">
        <v>55335387</v>
      </c>
      <c r="AJ214" s="127">
        <v>56849107</v>
      </c>
      <c r="AK214" s="127">
        <v>69562205</v>
      </c>
      <c r="AL214" s="127">
        <v>42622289</v>
      </c>
      <c r="AM214" s="127">
        <v>28339929</v>
      </c>
      <c r="AN214" s="127">
        <v>40376022</v>
      </c>
      <c r="AO214" s="127">
        <v>846254</v>
      </c>
      <c r="AP214" s="308">
        <v>0</v>
      </c>
      <c r="AQ214" s="127">
        <v>26995458</v>
      </c>
      <c r="AR214" s="127">
        <v>15626831</v>
      </c>
      <c r="AS214" s="127">
        <v>140931809</v>
      </c>
      <c r="AT214" s="131">
        <v>137608915</v>
      </c>
      <c r="AU214" s="127">
        <v>74260974</v>
      </c>
      <c r="AV214" s="127">
        <v>63347941</v>
      </c>
      <c r="AW214" s="127"/>
      <c r="AX214" s="127">
        <v>49354000</v>
      </c>
      <c r="AY214" s="127">
        <v>43469144</v>
      </c>
      <c r="AZ214" s="308" t="s">
        <v>185</v>
      </c>
      <c r="BA214" s="126">
        <v>82558481</v>
      </c>
      <c r="BB214" s="127">
        <v>34674562</v>
      </c>
      <c r="BC214" s="127">
        <v>47883919</v>
      </c>
      <c r="BD214" s="127"/>
      <c r="BE214" s="308" t="s">
        <v>185</v>
      </c>
      <c r="BF214" s="126">
        <v>24898695</v>
      </c>
      <c r="BG214" s="123">
        <v>12000000</v>
      </c>
      <c r="BH214" s="308">
        <v>180</v>
      </c>
      <c r="BI214" s="109"/>
    </row>
    <row r="215" spans="1:61" ht="15" customHeight="1">
      <c r="A215" s="124">
        <v>2007</v>
      </c>
      <c r="B215" s="274" t="s">
        <v>296</v>
      </c>
      <c r="C215" s="274" t="s">
        <v>297</v>
      </c>
      <c r="D215" s="127">
        <v>43.5</v>
      </c>
      <c r="E215" s="272">
        <v>2</v>
      </c>
      <c r="F215" s="124">
        <v>232</v>
      </c>
      <c r="G215" s="274" t="s">
        <v>186</v>
      </c>
      <c r="H215" s="274" t="s">
        <v>187</v>
      </c>
      <c r="I215" s="126">
        <v>34.1</v>
      </c>
      <c r="J215" s="127">
        <v>32.9</v>
      </c>
      <c r="K215" s="150">
        <v>1.2</v>
      </c>
      <c r="L215" s="150">
        <v>5.7</v>
      </c>
      <c r="M215" s="150">
        <v>3.6</v>
      </c>
      <c r="N215" s="127">
        <v>156.1</v>
      </c>
      <c r="O215" s="128">
        <v>6.56</v>
      </c>
      <c r="P215" s="128">
        <v>3.66</v>
      </c>
      <c r="Q215" s="128">
        <v>4.75</v>
      </c>
      <c r="R215" s="128">
        <v>1.87</v>
      </c>
      <c r="S215" s="128">
        <v>1.85</v>
      </c>
      <c r="T215" s="128">
        <v>0.02</v>
      </c>
      <c r="U215" s="128">
        <v>2.83</v>
      </c>
      <c r="V215" s="128">
        <v>0.05</v>
      </c>
      <c r="W215" s="272"/>
      <c r="X215" s="127">
        <v>389</v>
      </c>
      <c r="Y215" s="126">
        <v>24.1</v>
      </c>
      <c r="Z215" s="129">
        <v>0.6</v>
      </c>
      <c r="AA215" s="130">
        <v>97.46</v>
      </c>
      <c r="AB215" s="130">
        <v>839</v>
      </c>
      <c r="AC215" s="128">
        <v>4.72</v>
      </c>
      <c r="AD215" s="129">
        <v>1.47</v>
      </c>
      <c r="AE215" s="128">
        <v>0.89</v>
      </c>
      <c r="AF215" s="128">
        <v>4.72</v>
      </c>
      <c r="AG215" s="128">
        <v>4.72</v>
      </c>
      <c r="AH215" s="127">
        <v>120345401</v>
      </c>
      <c r="AI215" s="127">
        <v>58091408</v>
      </c>
      <c r="AJ215" s="127">
        <v>62253993</v>
      </c>
      <c r="AK215" s="127">
        <v>72994096</v>
      </c>
      <c r="AL215" s="127">
        <v>47351305</v>
      </c>
      <c r="AM215" s="127">
        <v>28648674</v>
      </c>
      <c r="AN215" s="127">
        <v>43521727</v>
      </c>
      <c r="AO215" s="127">
        <v>823695</v>
      </c>
      <c r="AP215" s="308">
        <v>0</v>
      </c>
      <c r="AQ215" s="127">
        <v>29442734</v>
      </c>
      <c r="AR215" s="127">
        <v>17908571</v>
      </c>
      <c r="AS215" s="127">
        <v>156920279</v>
      </c>
      <c r="AT215" s="131">
        <v>194342486</v>
      </c>
      <c r="AU215" s="127">
        <v>97757800</v>
      </c>
      <c r="AV215" s="127">
        <v>96584686</v>
      </c>
      <c r="AW215" s="127"/>
      <c r="AX215" s="127">
        <v>56382124</v>
      </c>
      <c r="AY215" s="127">
        <v>58125438</v>
      </c>
      <c r="AZ215" s="308" t="s">
        <v>185</v>
      </c>
      <c r="BA215" s="126">
        <v>353223553</v>
      </c>
      <c r="BB215" s="127">
        <v>148353892</v>
      </c>
      <c r="BC215" s="127">
        <v>204869661</v>
      </c>
      <c r="BD215" s="158"/>
      <c r="BE215" s="308" t="s">
        <v>185</v>
      </c>
      <c r="BF215" s="157">
        <v>30705857</v>
      </c>
      <c r="BG215" s="233" t="s">
        <v>185</v>
      </c>
      <c r="BH215" s="308">
        <v>180</v>
      </c>
      <c r="BI215" s="109"/>
    </row>
    <row r="216" spans="1:61" ht="15" customHeight="1">
      <c r="A216" s="124">
        <v>2008</v>
      </c>
      <c r="B216" s="274" t="s">
        <v>296</v>
      </c>
      <c r="C216" s="274" t="s">
        <v>297</v>
      </c>
      <c r="D216" s="127">
        <v>43</v>
      </c>
      <c r="E216" s="272">
        <v>2</v>
      </c>
      <c r="F216" s="124">
        <v>234</v>
      </c>
      <c r="G216" s="274" t="s">
        <v>186</v>
      </c>
      <c r="H216" s="274" t="s">
        <v>187</v>
      </c>
      <c r="I216" s="126">
        <v>34.19</v>
      </c>
      <c r="J216" s="127">
        <v>28.12</v>
      </c>
      <c r="K216" s="150">
        <v>6.07</v>
      </c>
      <c r="L216" s="150">
        <v>5.75</v>
      </c>
      <c r="M216" s="150">
        <v>3.6</v>
      </c>
      <c r="N216" s="127">
        <v>156.12</v>
      </c>
      <c r="O216" s="128">
        <v>6.9</v>
      </c>
      <c r="P216" s="128">
        <v>3.56</v>
      </c>
      <c r="Q216" s="128">
        <v>4.68</v>
      </c>
      <c r="R216" s="128">
        <v>1.89</v>
      </c>
      <c r="S216" s="128">
        <v>1.82</v>
      </c>
      <c r="T216" s="128">
        <v>0.07</v>
      </c>
      <c r="U216" s="128">
        <v>2.73</v>
      </c>
      <c r="V216" s="128">
        <v>0.06</v>
      </c>
      <c r="W216" s="272"/>
      <c r="X216" s="127">
        <v>359</v>
      </c>
      <c r="Y216" s="126">
        <v>24.74</v>
      </c>
      <c r="Z216" s="129">
        <v>0.6</v>
      </c>
      <c r="AA216" s="130">
        <v>97.46</v>
      </c>
      <c r="AB216" s="130">
        <v>692</v>
      </c>
      <c r="AC216" s="128">
        <v>4.79</v>
      </c>
      <c r="AD216" s="129">
        <v>1.44</v>
      </c>
      <c r="AE216" s="128">
        <v>0.89</v>
      </c>
      <c r="AF216" s="128">
        <v>4.79</v>
      </c>
      <c r="AG216" s="128">
        <v>4.79</v>
      </c>
      <c r="AH216" s="127">
        <v>134923745</v>
      </c>
      <c r="AI216" s="127">
        <v>65878798</v>
      </c>
      <c r="AJ216" s="127">
        <v>69044947</v>
      </c>
      <c r="AK216" s="127">
        <v>81909385</v>
      </c>
      <c r="AL216" s="127">
        <v>53014360</v>
      </c>
      <c r="AM216" s="127">
        <v>33008133</v>
      </c>
      <c r="AN216" s="127">
        <v>47919696</v>
      </c>
      <c r="AO216" s="127">
        <v>981556</v>
      </c>
      <c r="AP216" s="308">
        <v>0</v>
      </c>
      <c r="AQ216" s="127">
        <v>32870665</v>
      </c>
      <c r="AR216" s="127">
        <v>20143695</v>
      </c>
      <c r="AS216" s="127">
        <v>149006967</v>
      </c>
      <c r="AT216" s="131">
        <v>217227600</v>
      </c>
      <c r="AU216" s="127">
        <v>117882600</v>
      </c>
      <c r="AV216" s="127">
        <v>99345000</v>
      </c>
      <c r="AW216" s="127"/>
      <c r="AX216" s="127">
        <v>60544517</v>
      </c>
      <c r="AY216" s="127">
        <v>65319527</v>
      </c>
      <c r="AZ216" s="308" t="s">
        <v>185</v>
      </c>
      <c r="BA216" s="126">
        <v>318529021</v>
      </c>
      <c r="BB216" s="127">
        <v>132248651</v>
      </c>
      <c r="BC216" s="127">
        <v>186280370</v>
      </c>
      <c r="BD216" s="127"/>
      <c r="BE216" s="308" t="s">
        <v>185</v>
      </c>
      <c r="BF216" s="126">
        <v>40693460</v>
      </c>
      <c r="BG216" s="272"/>
      <c r="BH216" s="308">
        <v>180</v>
      </c>
      <c r="BI216" s="109"/>
    </row>
    <row r="217" spans="1:61" ht="15" customHeight="1">
      <c r="A217" s="156">
        <v>2009</v>
      </c>
      <c r="B217" s="274" t="s">
        <v>296</v>
      </c>
      <c r="C217" s="274" t="s">
        <v>297</v>
      </c>
      <c r="D217" s="158">
        <v>40.99</v>
      </c>
      <c r="E217" s="272">
        <v>2</v>
      </c>
      <c r="F217" s="156">
        <v>237</v>
      </c>
      <c r="G217" s="274" t="s">
        <v>186</v>
      </c>
      <c r="H217" s="274" t="s">
        <v>187</v>
      </c>
      <c r="I217" s="157">
        <v>33.8</v>
      </c>
      <c r="J217" s="158">
        <v>28.9</v>
      </c>
      <c r="K217" s="163">
        <v>4.9</v>
      </c>
      <c r="L217" s="163">
        <v>5.8</v>
      </c>
      <c r="M217" s="163">
        <v>3.7</v>
      </c>
      <c r="N217" s="158">
        <v>156.1</v>
      </c>
      <c r="O217" s="159">
        <v>6.58</v>
      </c>
      <c r="P217" s="159">
        <v>3.17</v>
      </c>
      <c r="Q217" s="159">
        <v>4.35</v>
      </c>
      <c r="R217" s="159">
        <v>1.63</v>
      </c>
      <c r="S217" s="159">
        <v>1.61</v>
      </c>
      <c r="T217" s="159">
        <v>0.02</v>
      </c>
      <c r="U217" s="159">
        <v>2.65</v>
      </c>
      <c r="V217" s="159">
        <v>0.07</v>
      </c>
      <c r="W217" s="272"/>
      <c r="X217" s="158">
        <v>421</v>
      </c>
      <c r="Y217" s="157">
        <v>23.8</v>
      </c>
      <c r="Z217" s="160">
        <v>0.6</v>
      </c>
      <c r="AA217" s="130">
        <v>97.46</v>
      </c>
      <c r="AB217" s="130">
        <v>666</v>
      </c>
      <c r="AC217" s="159">
        <v>4.8</v>
      </c>
      <c r="AD217" s="160">
        <v>1.29</v>
      </c>
      <c r="AE217" s="159">
        <v>0.74</v>
      </c>
      <c r="AF217" s="159">
        <v>4.8</v>
      </c>
      <c r="AG217" s="159">
        <v>4.8</v>
      </c>
      <c r="AH217" s="158">
        <v>141325570</v>
      </c>
      <c r="AI217" s="158">
        <v>58711188</v>
      </c>
      <c r="AJ217" s="158">
        <v>82614382</v>
      </c>
      <c r="AK217" s="158">
        <v>89318860</v>
      </c>
      <c r="AL217" s="158">
        <v>52006710</v>
      </c>
      <c r="AM217" s="158">
        <v>29565822</v>
      </c>
      <c r="AN217" s="158">
        <v>58199459</v>
      </c>
      <c r="AO217" s="158">
        <v>1553579</v>
      </c>
      <c r="AP217" s="308">
        <v>0</v>
      </c>
      <c r="AQ217" s="158">
        <v>29145366</v>
      </c>
      <c r="AR217" s="158">
        <v>22861344</v>
      </c>
      <c r="AS217" s="158">
        <v>155835518</v>
      </c>
      <c r="AT217" s="161">
        <v>210863663</v>
      </c>
      <c r="AU217" s="158">
        <v>96997285</v>
      </c>
      <c r="AV217" s="158">
        <v>113866379</v>
      </c>
      <c r="AW217" s="158"/>
      <c r="AX217" s="158">
        <v>85630551</v>
      </c>
      <c r="AY217" s="158">
        <v>76512869</v>
      </c>
      <c r="AZ217" s="308" t="s">
        <v>185</v>
      </c>
      <c r="BA217" s="157">
        <v>300928915</v>
      </c>
      <c r="BB217" s="158">
        <v>138427301</v>
      </c>
      <c r="BC217" s="158">
        <v>162501614</v>
      </c>
      <c r="BD217" s="144"/>
      <c r="BE217" s="308" t="s">
        <v>185</v>
      </c>
      <c r="BF217" s="120">
        <v>31851716</v>
      </c>
      <c r="BG217" s="272"/>
      <c r="BH217" s="308">
        <v>180</v>
      </c>
      <c r="BI217" s="133">
        <v>14.54</v>
      </c>
    </row>
    <row r="218" spans="1:61" ht="15" customHeight="1">
      <c r="A218" s="124">
        <v>2010</v>
      </c>
      <c r="B218" s="275" t="s">
        <v>296</v>
      </c>
      <c r="C218" s="275" t="s">
        <v>297</v>
      </c>
      <c r="D218" s="127">
        <v>40.55</v>
      </c>
      <c r="E218" s="273">
        <v>2</v>
      </c>
      <c r="F218" s="124">
        <v>238</v>
      </c>
      <c r="G218" s="275" t="s">
        <v>186</v>
      </c>
      <c r="H218" s="275" t="s">
        <v>187</v>
      </c>
      <c r="I218" s="126">
        <v>33.4</v>
      </c>
      <c r="J218" s="127">
        <v>31.3</v>
      </c>
      <c r="K218" s="150">
        <v>2.1</v>
      </c>
      <c r="L218" s="150">
        <v>5.85</v>
      </c>
      <c r="M218" s="150">
        <v>3.75</v>
      </c>
      <c r="N218" s="127">
        <v>156.1</v>
      </c>
      <c r="O218" s="128">
        <v>6.63</v>
      </c>
      <c r="P218" s="128">
        <v>3.26</v>
      </c>
      <c r="Q218" s="128">
        <v>4.33</v>
      </c>
      <c r="R218" s="128">
        <v>1.59</v>
      </c>
      <c r="S218" s="128">
        <v>1.58</v>
      </c>
      <c r="T218" s="128">
        <v>0.01</v>
      </c>
      <c r="U218" s="128">
        <v>2.66</v>
      </c>
      <c r="V218" s="128">
        <v>0.08</v>
      </c>
      <c r="W218" s="273"/>
      <c r="X218" s="127">
        <v>350</v>
      </c>
      <c r="Y218" s="126">
        <v>23.8</v>
      </c>
      <c r="Z218" s="129">
        <v>0.6</v>
      </c>
      <c r="AA218" s="123">
        <v>97.46</v>
      </c>
      <c r="AB218" s="123">
        <v>549</v>
      </c>
      <c r="AC218" s="128">
        <v>4.03</v>
      </c>
      <c r="AD218" s="129">
        <v>1.25</v>
      </c>
      <c r="AE218" s="128">
        <v>0.72</v>
      </c>
      <c r="AF218" s="128">
        <v>4.03</v>
      </c>
      <c r="AG218" s="128">
        <v>4.03</v>
      </c>
      <c r="AH218" s="127">
        <v>193883317</v>
      </c>
      <c r="AI218" s="127">
        <v>61328922</v>
      </c>
      <c r="AJ218" s="127">
        <v>132554395</v>
      </c>
      <c r="AK218" s="127">
        <v>120734131</v>
      </c>
      <c r="AL218" s="127">
        <v>73149186</v>
      </c>
      <c r="AM218" s="127">
        <v>31653660</v>
      </c>
      <c r="AN218" s="127">
        <v>87216914</v>
      </c>
      <c r="AO218" s="127">
        <v>1863557</v>
      </c>
      <c r="AP218" s="309">
        <v>0</v>
      </c>
      <c r="AQ218" s="127">
        <v>29675262</v>
      </c>
      <c r="AR218" s="127">
        <v>43473924</v>
      </c>
      <c r="AS218" s="127">
        <v>198411640</v>
      </c>
      <c r="AT218" s="131">
        <v>277525082</v>
      </c>
      <c r="AU218" s="127">
        <v>127661998</v>
      </c>
      <c r="AV218" s="127">
        <v>149863084</v>
      </c>
      <c r="AW218" s="127"/>
      <c r="AX218" s="127">
        <v>80161149</v>
      </c>
      <c r="AY218" s="127">
        <v>101687110</v>
      </c>
      <c r="AZ218" s="309" t="s">
        <v>185</v>
      </c>
      <c r="BA218" s="126">
        <v>258019265</v>
      </c>
      <c r="BB218" s="127">
        <v>118688862</v>
      </c>
      <c r="BC218" s="127">
        <v>139330403</v>
      </c>
      <c r="BD218" s="137"/>
      <c r="BE218" s="309" t="s">
        <v>185</v>
      </c>
      <c r="BF218" s="115">
        <v>36921599</v>
      </c>
      <c r="BG218" s="273"/>
      <c r="BH218" s="309">
        <v>180</v>
      </c>
      <c r="BI218" s="111">
        <v>15</v>
      </c>
    </row>
    <row r="219" spans="1:60" s="74" customFormat="1" ht="6" customHeight="1" thickBot="1">
      <c r="A219" s="76"/>
      <c r="B219" s="81"/>
      <c r="C219" s="81"/>
      <c r="D219" s="75"/>
      <c r="E219" s="78"/>
      <c r="H219" s="82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4"/>
      <c r="U219" s="83"/>
      <c r="V219" s="83"/>
      <c r="W219" s="83"/>
      <c r="X219" s="78"/>
      <c r="Y219" s="83"/>
      <c r="Z219" s="83"/>
      <c r="AA219" s="83"/>
      <c r="AB219" s="78"/>
      <c r="AC219" s="83"/>
      <c r="AD219" s="83"/>
      <c r="AE219" s="83"/>
      <c r="AF219" s="83"/>
      <c r="AG219" s="83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85"/>
    </row>
    <row r="220" spans="1:61" ht="24" customHeight="1">
      <c r="A220" s="205" t="s">
        <v>300</v>
      </c>
      <c r="B220" s="292" t="s">
        <v>298</v>
      </c>
      <c r="C220" s="292" t="s">
        <v>299</v>
      </c>
      <c r="D220" s="127">
        <v>28.4</v>
      </c>
      <c r="E220" s="123">
        <v>1</v>
      </c>
      <c r="F220" s="124">
        <v>116</v>
      </c>
      <c r="G220" s="254" t="s">
        <v>186</v>
      </c>
      <c r="H220" s="125" t="s">
        <v>187</v>
      </c>
      <c r="I220" s="126">
        <v>28.4</v>
      </c>
      <c r="J220" s="127">
        <v>16.56</v>
      </c>
      <c r="K220" s="150">
        <v>11.84</v>
      </c>
      <c r="L220" s="150">
        <v>5.28</v>
      </c>
      <c r="M220" s="150">
        <v>4.02</v>
      </c>
      <c r="N220" s="127">
        <v>199.8</v>
      </c>
      <c r="O220" s="128">
        <v>0.248</v>
      </c>
      <c r="P220" s="128">
        <v>0.07</v>
      </c>
      <c r="Q220" s="128">
        <v>0.214</v>
      </c>
      <c r="R220" s="128">
        <v>0.122</v>
      </c>
      <c r="S220" s="128">
        <v>0.087</v>
      </c>
      <c r="T220" s="128">
        <v>0.03</v>
      </c>
      <c r="U220" s="128">
        <v>0.061</v>
      </c>
      <c r="V220" s="128">
        <v>0.03</v>
      </c>
      <c r="W220" s="260" t="s">
        <v>185</v>
      </c>
      <c r="X220" s="127">
        <v>12</v>
      </c>
      <c r="Y220" s="126">
        <v>17</v>
      </c>
      <c r="Z220" s="201">
        <v>0.8</v>
      </c>
      <c r="AA220" s="130">
        <v>60.4</v>
      </c>
      <c r="AB220" s="130">
        <v>68</v>
      </c>
      <c r="AC220" s="129">
        <v>0.12</v>
      </c>
      <c r="AD220" s="129">
        <v>0.04</v>
      </c>
      <c r="AE220" s="128">
        <v>0.08</v>
      </c>
      <c r="AF220" s="128">
        <v>0.12</v>
      </c>
      <c r="AG220" s="248" t="s">
        <v>185</v>
      </c>
      <c r="AH220" s="127">
        <v>12162000</v>
      </c>
      <c r="AI220" s="127">
        <v>6570916</v>
      </c>
      <c r="AJ220" s="127">
        <v>5591084</v>
      </c>
      <c r="AK220" s="127">
        <v>10475000</v>
      </c>
      <c r="AL220" s="127">
        <v>1687000</v>
      </c>
      <c r="AM220" s="127">
        <v>6003700</v>
      </c>
      <c r="AN220" s="127">
        <v>2987300</v>
      </c>
      <c r="AO220" s="127">
        <v>1484000</v>
      </c>
      <c r="AP220" s="248" t="s">
        <v>185</v>
      </c>
      <c r="AQ220" s="127">
        <v>567216</v>
      </c>
      <c r="AR220" s="127">
        <v>1119784</v>
      </c>
      <c r="AS220" s="127">
        <v>12545</v>
      </c>
      <c r="AT220" s="131">
        <v>12973000</v>
      </c>
      <c r="AU220" s="127">
        <v>10690000</v>
      </c>
      <c r="AV220" s="127">
        <v>1882000</v>
      </c>
      <c r="AW220" s="127">
        <v>401000</v>
      </c>
      <c r="AX220" s="127">
        <v>6605000</v>
      </c>
      <c r="AY220" s="127">
        <v>2299000</v>
      </c>
      <c r="AZ220" s="127">
        <v>566000</v>
      </c>
      <c r="BA220" s="126">
        <v>9575168</v>
      </c>
      <c r="BB220" s="127">
        <v>8059331</v>
      </c>
      <c r="BC220" s="127">
        <v>505689</v>
      </c>
      <c r="BD220" s="127">
        <v>1010148</v>
      </c>
      <c r="BE220" s="248" t="s">
        <v>185</v>
      </c>
      <c r="BF220" s="126">
        <v>1243000</v>
      </c>
      <c r="BG220" s="248" t="s">
        <v>301</v>
      </c>
      <c r="BH220" s="248">
        <v>200</v>
      </c>
      <c r="BI220" s="109"/>
    </row>
    <row r="221" spans="1:61" ht="15" customHeight="1">
      <c r="A221" s="113">
        <v>2008</v>
      </c>
      <c r="B221" s="274" t="s">
        <v>298</v>
      </c>
      <c r="C221" s="274" t="s">
        <v>299</v>
      </c>
      <c r="D221" s="214">
        <v>27.8</v>
      </c>
      <c r="E221" s="215">
        <v>1</v>
      </c>
      <c r="F221" s="113">
        <v>126</v>
      </c>
      <c r="G221" s="274" t="s">
        <v>186</v>
      </c>
      <c r="H221" s="269" t="s">
        <v>302</v>
      </c>
      <c r="I221" s="214">
        <v>27.8</v>
      </c>
      <c r="J221" s="214">
        <v>18.4</v>
      </c>
      <c r="K221" s="216">
        <v>9.4</v>
      </c>
      <c r="L221" s="216">
        <v>6.3</v>
      </c>
      <c r="M221" s="216">
        <v>4.41</v>
      </c>
      <c r="N221" s="214">
        <v>200.9</v>
      </c>
      <c r="O221" s="217">
        <v>1.08</v>
      </c>
      <c r="P221" s="217">
        <v>0.56</v>
      </c>
      <c r="Q221" s="217">
        <v>1.08</v>
      </c>
      <c r="R221" s="217">
        <v>0.694</v>
      </c>
      <c r="S221" s="217">
        <v>0.52</v>
      </c>
      <c r="T221" s="217">
        <v>0.17</v>
      </c>
      <c r="U221" s="217">
        <v>0.28</v>
      </c>
      <c r="V221" s="217">
        <v>0.11</v>
      </c>
      <c r="W221" s="272"/>
      <c r="X221" s="214">
        <v>77</v>
      </c>
      <c r="Y221" s="214">
        <v>15</v>
      </c>
      <c r="Z221" s="216">
        <v>0.9</v>
      </c>
      <c r="AA221" s="215">
        <v>60.4</v>
      </c>
      <c r="AB221" s="215">
        <v>272</v>
      </c>
      <c r="AC221" s="217">
        <v>0.536</v>
      </c>
      <c r="AD221" s="217">
        <v>0.197</v>
      </c>
      <c r="AE221" s="217">
        <v>0.34</v>
      </c>
      <c r="AF221" s="217">
        <v>0.54</v>
      </c>
      <c r="AG221" s="308" t="s">
        <v>185</v>
      </c>
      <c r="AH221" s="214">
        <v>60412600</v>
      </c>
      <c r="AI221" s="214">
        <v>36597000</v>
      </c>
      <c r="AJ221" s="214">
        <v>23815600</v>
      </c>
      <c r="AK221" s="214">
        <v>52887600</v>
      </c>
      <c r="AL221" s="214">
        <v>7525000</v>
      </c>
      <c r="AM221" s="214">
        <v>33789300</v>
      </c>
      <c r="AN221" s="214">
        <v>13711600</v>
      </c>
      <c r="AO221" s="214">
        <v>5386700</v>
      </c>
      <c r="AP221" s="308" t="s">
        <v>185</v>
      </c>
      <c r="AQ221" s="214">
        <v>2808000</v>
      </c>
      <c r="AR221" s="214">
        <v>4717000</v>
      </c>
      <c r="AS221" s="214">
        <v>60412600</v>
      </c>
      <c r="AT221" s="218">
        <v>71958000</v>
      </c>
      <c r="AU221" s="214">
        <v>59186000</v>
      </c>
      <c r="AV221" s="214">
        <v>12772000</v>
      </c>
      <c r="AW221" s="214">
        <v>12397000</v>
      </c>
      <c r="AX221" s="214">
        <v>32755050</v>
      </c>
      <c r="AY221" s="214">
        <v>11477400</v>
      </c>
      <c r="AZ221" s="214">
        <v>1644000</v>
      </c>
      <c r="BA221" s="214">
        <f>BB221+BC221</f>
        <v>37996228</v>
      </c>
      <c r="BB221" s="214">
        <v>30912653</v>
      </c>
      <c r="BC221" s="214">
        <v>7083575</v>
      </c>
      <c r="BD221" s="214">
        <v>1142267</v>
      </c>
      <c r="BE221" s="308" t="s">
        <v>185</v>
      </c>
      <c r="BF221" s="214">
        <v>2216000</v>
      </c>
      <c r="BG221" s="308" t="s">
        <v>301</v>
      </c>
      <c r="BH221" s="308">
        <v>200</v>
      </c>
      <c r="BI221" s="109"/>
    </row>
    <row r="222" spans="1:61" ht="15" customHeight="1">
      <c r="A222" s="206">
        <v>2009</v>
      </c>
      <c r="B222" s="274"/>
      <c r="C222" s="274"/>
      <c r="D222" s="158"/>
      <c r="E222" s="130"/>
      <c r="F222" s="156"/>
      <c r="G222" s="274"/>
      <c r="H222" s="272"/>
      <c r="I222" s="157"/>
      <c r="J222" s="158"/>
      <c r="K222" s="163"/>
      <c r="L222" s="163"/>
      <c r="M222" s="163"/>
      <c r="N222" s="158"/>
      <c r="O222" s="159"/>
      <c r="P222" s="159"/>
      <c r="Q222" s="159"/>
      <c r="R222" s="159"/>
      <c r="S222" s="159"/>
      <c r="T222" s="159"/>
      <c r="U222" s="159"/>
      <c r="V222" s="159"/>
      <c r="W222" s="272"/>
      <c r="X222" s="158"/>
      <c r="Y222" s="157"/>
      <c r="Z222" s="203"/>
      <c r="AA222" s="130"/>
      <c r="AB222" s="130"/>
      <c r="AC222" s="160"/>
      <c r="AD222" s="160"/>
      <c r="AE222" s="159"/>
      <c r="AF222" s="159"/>
      <c r="AG222" s="308"/>
      <c r="AH222" s="158"/>
      <c r="AI222" s="158"/>
      <c r="AJ222" s="158"/>
      <c r="AK222" s="158"/>
      <c r="AL222" s="158"/>
      <c r="AM222" s="158"/>
      <c r="AN222" s="158"/>
      <c r="AO222" s="158"/>
      <c r="AP222" s="308"/>
      <c r="AQ222" s="158"/>
      <c r="AR222" s="158"/>
      <c r="AS222" s="158"/>
      <c r="AT222" s="161"/>
      <c r="AU222" s="158"/>
      <c r="AV222" s="158"/>
      <c r="AW222" s="158"/>
      <c r="AX222" s="158"/>
      <c r="AY222" s="158"/>
      <c r="AZ222" s="158"/>
      <c r="BA222" s="157"/>
      <c r="BB222" s="158"/>
      <c r="BC222" s="158"/>
      <c r="BD222" s="158"/>
      <c r="BE222" s="308"/>
      <c r="BF222" s="157"/>
      <c r="BG222" s="308"/>
      <c r="BH222" s="308"/>
      <c r="BI222" s="133">
        <v>2.06</v>
      </c>
    </row>
    <row r="223" spans="1:61" ht="15" customHeight="1">
      <c r="A223" s="205">
        <v>2010</v>
      </c>
      <c r="B223" s="275" t="s">
        <v>298</v>
      </c>
      <c r="C223" s="275" t="s">
        <v>299</v>
      </c>
      <c r="D223" s="127">
        <v>33.01</v>
      </c>
      <c r="E223" s="123">
        <v>8</v>
      </c>
      <c r="F223" s="124">
        <v>151</v>
      </c>
      <c r="G223" s="275" t="s">
        <v>186</v>
      </c>
      <c r="H223" s="273"/>
      <c r="I223" s="126">
        <v>33.01</v>
      </c>
      <c r="J223" s="127">
        <v>27.01</v>
      </c>
      <c r="K223" s="150">
        <v>6</v>
      </c>
      <c r="L223" s="150">
        <v>7.5</v>
      </c>
      <c r="M223" s="150">
        <v>7.5</v>
      </c>
      <c r="N223" s="127">
        <v>287.8</v>
      </c>
      <c r="O223" s="128">
        <v>0.93</v>
      </c>
      <c r="P223" s="128">
        <v>0.56</v>
      </c>
      <c r="Q223" s="128">
        <v>0.93</v>
      </c>
      <c r="R223" s="128">
        <v>0.68</v>
      </c>
      <c r="S223" s="128">
        <v>573.8</v>
      </c>
      <c r="T223" s="128">
        <v>109.8</v>
      </c>
      <c r="U223" s="128">
        <v>207.8</v>
      </c>
      <c r="V223" s="128">
        <v>38.6</v>
      </c>
      <c r="W223" s="273"/>
      <c r="X223" s="127">
        <v>77</v>
      </c>
      <c r="Y223" s="126">
        <v>15</v>
      </c>
      <c r="Z223" s="201">
        <v>0.9</v>
      </c>
      <c r="AA223" s="123">
        <v>68.5</v>
      </c>
      <c r="AB223" s="123">
        <v>272</v>
      </c>
      <c r="AC223" s="129">
        <v>0.44</v>
      </c>
      <c r="AD223" s="129">
        <v>0.21</v>
      </c>
      <c r="AE223" s="128">
        <v>0.23</v>
      </c>
      <c r="AF223" s="128">
        <v>0.44</v>
      </c>
      <c r="AG223" s="309" t="s">
        <v>185</v>
      </c>
      <c r="AH223" s="127">
        <v>148422000</v>
      </c>
      <c r="AI223" s="127">
        <v>112717000</v>
      </c>
      <c r="AJ223" s="127">
        <v>35705000</v>
      </c>
      <c r="AK223" s="127">
        <v>131209000</v>
      </c>
      <c r="AL223" s="127">
        <v>17213000</v>
      </c>
      <c r="AM223" s="127">
        <v>93492552</v>
      </c>
      <c r="AN223" s="127">
        <v>31807946</v>
      </c>
      <c r="AO223" s="127">
        <v>5908502</v>
      </c>
      <c r="AP223" s="309" t="s">
        <v>185</v>
      </c>
      <c r="AQ223" s="127">
        <v>8147838</v>
      </c>
      <c r="AR223" s="127">
        <v>9065162</v>
      </c>
      <c r="AS223" s="127">
        <v>60412600</v>
      </c>
      <c r="AT223" s="131">
        <v>170774000</v>
      </c>
      <c r="AU223" s="127">
        <v>146129500</v>
      </c>
      <c r="AV223" s="127">
        <v>24644500</v>
      </c>
      <c r="AW223" s="127">
        <v>13805200</v>
      </c>
      <c r="AX223" s="127">
        <v>64686221</v>
      </c>
      <c r="AY223" s="127">
        <v>15465400</v>
      </c>
      <c r="AZ223" s="127">
        <v>2890513</v>
      </c>
      <c r="BA223" s="126">
        <v>51175000</v>
      </c>
      <c r="BB223" s="127">
        <v>42166000</v>
      </c>
      <c r="BC223" s="127">
        <v>9009000</v>
      </c>
      <c r="BD223" s="127"/>
      <c r="BE223" s="309" t="s">
        <v>185</v>
      </c>
      <c r="BF223" s="126">
        <v>37172000</v>
      </c>
      <c r="BG223" s="309" t="s">
        <v>301</v>
      </c>
      <c r="BH223" s="309">
        <v>200</v>
      </c>
      <c r="BI223" s="111">
        <v>1.81</v>
      </c>
    </row>
    <row r="224" spans="1:60" s="74" customFormat="1" ht="6" customHeight="1" thickBot="1">
      <c r="A224" s="76"/>
      <c r="B224" s="81"/>
      <c r="C224" s="81"/>
      <c r="D224" s="75"/>
      <c r="E224" s="78"/>
      <c r="H224" s="82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4"/>
      <c r="U224" s="83"/>
      <c r="V224" s="83"/>
      <c r="W224" s="83"/>
      <c r="X224" s="78"/>
      <c r="Y224" s="83"/>
      <c r="Z224" s="83"/>
      <c r="AA224" s="83"/>
      <c r="AB224" s="78"/>
      <c r="AC224" s="83"/>
      <c r="AD224" s="83"/>
      <c r="AE224" s="83"/>
      <c r="AF224" s="83"/>
      <c r="AG224" s="83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85"/>
    </row>
    <row r="225" spans="1:61" ht="24" customHeight="1">
      <c r="A225" s="124">
        <v>2008</v>
      </c>
      <c r="B225" s="292" t="s">
        <v>303</v>
      </c>
      <c r="C225" s="292" t="s">
        <v>304</v>
      </c>
      <c r="D225" s="127">
        <v>25.8</v>
      </c>
      <c r="E225" s="123">
        <v>1</v>
      </c>
      <c r="F225" s="124">
        <v>145</v>
      </c>
      <c r="G225" s="254" t="s">
        <v>186</v>
      </c>
      <c r="H225" s="125"/>
      <c r="I225" s="126">
        <v>25.8</v>
      </c>
      <c r="J225" s="127">
        <v>15.4</v>
      </c>
      <c r="K225" s="150">
        <v>10.4</v>
      </c>
      <c r="L225" s="150">
        <v>1.2</v>
      </c>
      <c r="M225" s="150">
        <v>0.75</v>
      </c>
      <c r="N225" s="127">
        <v>98.5</v>
      </c>
      <c r="O225" s="128">
        <v>1.44</v>
      </c>
      <c r="P225" s="128">
        <v>0.85</v>
      </c>
      <c r="Q225" s="128">
        <v>0.95</v>
      </c>
      <c r="R225" s="128">
        <v>0.6</v>
      </c>
      <c r="S225" s="128">
        <v>0.4</v>
      </c>
      <c r="T225" s="128">
        <v>0.2</v>
      </c>
      <c r="U225" s="128">
        <v>0.1</v>
      </c>
      <c r="V225" s="128">
        <v>0.25</v>
      </c>
      <c r="W225" s="260" t="s">
        <v>185</v>
      </c>
      <c r="X225" s="127">
        <v>360</v>
      </c>
      <c r="Y225" s="126">
        <v>16.9</v>
      </c>
      <c r="Z225" s="201">
        <v>0.8</v>
      </c>
      <c r="AA225" s="130">
        <v>66.2</v>
      </c>
      <c r="AB225" s="210" t="s">
        <v>318</v>
      </c>
      <c r="AC225" s="129">
        <v>0.96</v>
      </c>
      <c r="AD225" s="129">
        <v>0.38</v>
      </c>
      <c r="AE225" s="128">
        <v>0.58</v>
      </c>
      <c r="AF225" s="128">
        <v>0.96</v>
      </c>
      <c r="AG225" s="128">
        <v>0.96</v>
      </c>
      <c r="AH225" s="127">
        <v>91362838</v>
      </c>
      <c r="AI225" s="127">
        <v>42337158</v>
      </c>
      <c r="AJ225" s="127">
        <v>49025680</v>
      </c>
      <c r="AK225" s="127">
        <v>36545135</v>
      </c>
      <c r="AL225" s="127">
        <v>54817703</v>
      </c>
      <c r="AM225" s="127">
        <v>16934863</v>
      </c>
      <c r="AN225" s="127">
        <v>12727190</v>
      </c>
      <c r="AO225" s="127">
        <v>6883082</v>
      </c>
      <c r="AP225" s="248" t="s">
        <v>185</v>
      </c>
      <c r="AQ225" s="127">
        <v>25402295</v>
      </c>
      <c r="AR225" s="127">
        <v>29415408</v>
      </c>
      <c r="AS225" s="127">
        <v>77000000</v>
      </c>
      <c r="AT225" s="131">
        <v>33145000</v>
      </c>
      <c r="AU225" s="127">
        <v>13670000</v>
      </c>
      <c r="AV225" s="127">
        <v>19475000</v>
      </c>
      <c r="AW225" s="127"/>
      <c r="AX225" s="127">
        <v>15620400</v>
      </c>
      <c r="AY225" s="127">
        <v>10479360</v>
      </c>
      <c r="AZ225" s="248" t="s">
        <v>185</v>
      </c>
      <c r="BA225" s="126">
        <v>10920000</v>
      </c>
      <c r="BB225" s="127">
        <v>5033034</v>
      </c>
      <c r="BC225" s="127">
        <v>5886966</v>
      </c>
      <c r="BD225" s="127"/>
      <c r="BE225" s="126"/>
      <c r="BF225" s="126">
        <v>7405422</v>
      </c>
      <c r="BG225" s="123" t="s">
        <v>301</v>
      </c>
      <c r="BH225" s="126">
        <v>250</v>
      </c>
      <c r="BI225" s="109"/>
    </row>
    <row r="226" spans="1:61" ht="15" customHeight="1">
      <c r="A226" s="135">
        <v>2009</v>
      </c>
      <c r="B226" s="274" t="s">
        <v>303</v>
      </c>
      <c r="C226" s="274" t="s">
        <v>304</v>
      </c>
      <c r="D226" s="137">
        <v>26.2</v>
      </c>
      <c r="E226" s="138">
        <v>1</v>
      </c>
      <c r="F226" s="135">
        <v>153</v>
      </c>
      <c r="G226" s="274" t="s">
        <v>186</v>
      </c>
      <c r="H226" s="109"/>
      <c r="I226" s="115">
        <v>26.7</v>
      </c>
      <c r="J226" s="137">
        <v>15.7</v>
      </c>
      <c r="K226" s="139">
        <v>11</v>
      </c>
      <c r="L226" s="139">
        <v>1.3</v>
      </c>
      <c r="M226" s="139">
        <v>1.1</v>
      </c>
      <c r="N226" s="137">
        <v>98.5</v>
      </c>
      <c r="O226" s="140">
        <v>1.46</v>
      </c>
      <c r="P226" s="140">
        <v>0.85</v>
      </c>
      <c r="Q226" s="140">
        <v>0.9</v>
      </c>
      <c r="R226" s="140">
        <v>0.55</v>
      </c>
      <c r="S226" s="140">
        <v>0.37</v>
      </c>
      <c r="T226" s="140">
        <v>0.18</v>
      </c>
      <c r="U226" s="140">
        <v>0.1</v>
      </c>
      <c r="V226" s="140">
        <v>0.25</v>
      </c>
      <c r="W226" s="272"/>
      <c r="X226" s="137">
        <v>77</v>
      </c>
      <c r="Y226" s="115">
        <v>17.7</v>
      </c>
      <c r="Z226" s="110">
        <v>0.9</v>
      </c>
      <c r="AA226" s="141">
        <v>81.9</v>
      </c>
      <c r="AB226" s="219">
        <v>506</v>
      </c>
      <c r="AC226" s="112">
        <v>0.93</v>
      </c>
      <c r="AD226" s="112">
        <v>0.38</v>
      </c>
      <c r="AE226" s="140">
        <v>0.55</v>
      </c>
      <c r="AF226" s="140">
        <v>0.93</v>
      </c>
      <c r="AG226" s="140">
        <v>0.93</v>
      </c>
      <c r="AH226" s="137">
        <v>104326302</v>
      </c>
      <c r="AI226" s="137">
        <v>48327871</v>
      </c>
      <c r="AJ226" s="137">
        <v>55998431</v>
      </c>
      <c r="AK226" s="137">
        <v>46946836</v>
      </c>
      <c r="AL226" s="137">
        <v>57379466</v>
      </c>
      <c r="AM226" s="137">
        <v>21747542</v>
      </c>
      <c r="AN226" s="137">
        <v>15009294</v>
      </c>
      <c r="AO226" s="137">
        <v>10190000</v>
      </c>
      <c r="AP226" s="308" t="s">
        <v>185</v>
      </c>
      <c r="AQ226" s="137">
        <v>26580330</v>
      </c>
      <c r="AR226" s="137">
        <v>31977171</v>
      </c>
      <c r="AS226" s="137">
        <v>92199684</v>
      </c>
      <c r="AT226" s="142">
        <v>84626504</v>
      </c>
      <c r="AU226" s="137">
        <v>40282216</v>
      </c>
      <c r="AV226" s="137">
        <v>44344288</v>
      </c>
      <c r="AW226" s="137"/>
      <c r="AX226" s="137">
        <v>47732277</v>
      </c>
      <c r="AY226" s="137">
        <v>16126691</v>
      </c>
      <c r="AZ226" s="308" t="s">
        <v>185</v>
      </c>
      <c r="BA226" s="115">
        <v>59281785</v>
      </c>
      <c r="BB226" s="137"/>
      <c r="BC226" s="137"/>
      <c r="BD226" s="137"/>
      <c r="BE226" s="115"/>
      <c r="BF226" s="115">
        <v>17566015</v>
      </c>
      <c r="BG226" s="257" t="s">
        <v>185</v>
      </c>
      <c r="BH226" s="251">
        <v>230</v>
      </c>
      <c r="BI226" s="111">
        <v>2.87</v>
      </c>
    </row>
    <row r="227" spans="1:61" ht="15" customHeight="1">
      <c r="A227" s="135">
        <v>2010</v>
      </c>
      <c r="B227" s="275" t="s">
        <v>303</v>
      </c>
      <c r="C227" s="275" t="s">
        <v>304</v>
      </c>
      <c r="D227" s="137">
        <v>26.9</v>
      </c>
      <c r="E227" s="138">
        <v>2</v>
      </c>
      <c r="F227" s="135">
        <v>162</v>
      </c>
      <c r="G227" s="275" t="s">
        <v>186</v>
      </c>
      <c r="H227" s="109"/>
      <c r="I227" s="115">
        <v>27.2</v>
      </c>
      <c r="J227" s="137">
        <v>15.9</v>
      </c>
      <c r="K227" s="139">
        <v>11.3</v>
      </c>
      <c r="L227" s="139">
        <v>1.6</v>
      </c>
      <c r="M227" s="139">
        <v>1.4</v>
      </c>
      <c r="N227" s="137">
        <v>113.09</v>
      </c>
      <c r="O227" s="140">
        <v>1.89</v>
      </c>
      <c r="P227" s="140">
        <v>1</v>
      </c>
      <c r="Q227" s="140">
        <v>1.1</v>
      </c>
      <c r="R227" s="140">
        <v>0.5</v>
      </c>
      <c r="S227" s="140">
        <v>0.4</v>
      </c>
      <c r="T227" s="140">
        <v>0.1</v>
      </c>
      <c r="U227" s="140">
        <v>0.2</v>
      </c>
      <c r="V227" s="140">
        <v>0.4</v>
      </c>
      <c r="W227" s="273"/>
      <c r="X227" s="137">
        <v>113</v>
      </c>
      <c r="Y227" s="115">
        <v>17.7</v>
      </c>
      <c r="Z227" s="110">
        <v>0.9</v>
      </c>
      <c r="AA227" s="138">
        <v>84.72</v>
      </c>
      <c r="AB227" s="220">
        <v>702</v>
      </c>
      <c r="AC227" s="112">
        <v>1</v>
      </c>
      <c r="AD227" s="112">
        <v>0.6</v>
      </c>
      <c r="AE227" s="140">
        <v>0.4</v>
      </c>
      <c r="AF227" s="140">
        <v>1</v>
      </c>
      <c r="AG227" s="140">
        <v>1</v>
      </c>
      <c r="AH227" s="137">
        <v>237585750</v>
      </c>
      <c r="AI227" s="137">
        <v>104595231</v>
      </c>
      <c r="AJ227" s="137">
        <v>87190519</v>
      </c>
      <c r="AK227" s="137">
        <v>148384240</v>
      </c>
      <c r="AL227" s="137">
        <v>89201510</v>
      </c>
      <c r="AM227" s="137">
        <v>68197356</v>
      </c>
      <c r="AN227" s="137">
        <v>34386884</v>
      </c>
      <c r="AO227" s="137">
        <v>45800000</v>
      </c>
      <c r="AP227" s="309" t="s">
        <v>185</v>
      </c>
      <c r="AQ227" s="137">
        <v>36397875</v>
      </c>
      <c r="AR227" s="137">
        <v>52803635</v>
      </c>
      <c r="AS227" s="137">
        <v>266289832</v>
      </c>
      <c r="AT227" s="142">
        <v>185211000</v>
      </c>
      <c r="AU227" s="137">
        <v>116570000</v>
      </c>
      <c r="AV227" s="137">
        <v>68641000</v>
      </c>
      <c r="AW227" s="137"/>
      <c r="AX227" s="137">
        <v>74436000</v>
      </c>
      <c r="AY227" s="137">
        <v>24975000</v>
      </c>
      <c r="AZ227" s="309" t="s">
        <v>185</v>
      </c>
      <c r="BA227" s="115">
        <v>56090612</v>
      </c>
      <c r="BB227" s="137">
        <v>26000000</v>
      </c>
      <c r="BC227" s="137">
        <v>30090612</v>
      </c>
      <c r="BD227" s="137"/>
      <c r="BE227" s="115"/>
      <c r="BF227" s="115">
        <v>54075091</v>
      </c>
      <c r="BG227" s="259"/>
      <c r="BH227" s="253"/>
      <c r="BI227" s="111">
        <v>2.59</v>
      </c>
    </row>
    <row r="228" spans="1:60" s="74" customFormat="1" ht="6" customHeight="1">
      <c r="A228" s="76"/>
      <c r="B228" s="81"/>
      <c r="C228" s="81"/>
      <c r="D228" s="75"/>
      <c r="E228" s="78"/>
      <c r="H228" s="82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4"/>
      <c r="U228" s="83"/>
      <c r="V228" s="83"/>
      <c r="W228" s="83"/>
      <c r="X228" s="78"/>
      <c r="Y228" s="83"/>
      <c r="Z228" s="83"/>
      <c r="AA228" s="83"/>
      <c r="AB228" s="78"/>
      <c r="AC228" s="83"/>
      <c r="AD228" s="83"/>
      <c r="AE228" s="83"/>
      <c r="AF228" s="83"/>
      <c r="AG228" s="83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85"/>
    </row>
    <row r="229" spans="1:61" ht="15" customHeight="1">
      <c r="A229" s="135">
        <v>2006</v>
      </c>
      <c r="B229" s="263" t="s">
        <v>305</v>
      </c>
      <c r="C229" s="263" t="s">
        <v>306</v>
      </c>
      <c r="D229" s="137">
        <v>6</v>
      </c>
      <c r="E229" s="138">
        <v>1</v>
      </c>
      <c r="F229" s="135">
        <v>50</v>
      </c>
      <c r="G229" s="269" t="s">
        <v>186</v>
      </c>
      <c r="H229" s="269" t="s">
        <v>187</v>
      </c>
      <c r="I229" s="115">
        <v>6</v>
      </c>
      <c r="J229" s="137">
        <v>3.5</v>
      </c>
      <c r="K229" s="139">
        <v>2.5</v>
      </c>
      <c r="L229" s="139">
        <v>0.6</v>
      </c>
      <c r="M229" s="139">
        <v>0.5</v>
      </c>
      <c r="N229" s="137">
        <v>70.2</v>
      </c>
      <c r="O229" s="140">
        <v>0.64</v>
      </c>
      <c r="P229" s="140">
        <v>0.32</v>
      </c>
      <c r="Q229" s="140">
        <v>0.64</v>
      </c>
      <c r="R229" s="140">
        <v>0.12</v>
      </c>
      <c r="S229" s="140">
        <v>0.07</v>
      </c>
      <c r="T229" s="140">
        <v>0.05</v>
      </c>
      <c r="U229" s="140">
        <v>0.5</v>
      </c>
      <c r="V229" s="140">
        <v>0.02</v>
      </c>
      <c r="W229" s="266" t="s">
        <v>185</v>
      </c>
      <c r="X229" s="137">
        <v>16</v>
      </c>
      <c r="Y229" s="115">
        <v>3</v>
      </c>
      <c r="Z229" s="112">
        <v>0.4</v>
      </c>
      <c r="AA229" s="138">
        <v>30.5</v>
      </c>
      <c r="AB229" s="138">
        <v>200</v>
      </c>
      <c r="AC229" s="112">
        <v>0.4</v>
      </c>
      <c r="AD229" s="112">
        <v>0.22</v>
      </c>
      <c r="AE229" s="140">
        <v>0.18</v>
      </c>
      <c r="AF229" s="140">
        <v>0.4</v>
      </c>
      <c r="AG229" s="140">
        <v>0.4</v>
      </c>
      <c r="AH229" s="137">
        <v>6396909</v>
      </c>
      <c r="AI229" s="137">
        <v>3965432</v>
      </c>
      <c r="AJ229" s="137">
        <v>2431477</v>
      </c>
      <c r="AK229" s="137">
        <v>3965432</v>
      </c>
      <c r="AL229" s="137">
        <v>2431477</v>
      </c>
      <c r="AM229" s="137">
        <v>3965432</v>
      </c>
      <c r="AN229" s="137">
        <v>562000</v>
      </c>
      <c r="AO229" s="137">
        <v>5471992</v>
      </c>
      <c r="AP229" s="251" t="s">
        <v>185</v>
      </c>
      <c r="AQ229" s="137">
        <v>3606255</v>
      </c>
      <c r="AR229" s="137">
        <v>1999341</v>
      </c>
      <c r="AS229" s="137">
        <v>25642258</v>
      </c>
      <c r="AT229" s="142">
        <v>7508670</v>
      </c>
      <c r="AU229" s="137">
        <v>3475392</v>
      </c>
      <c r="AV229" s="137">
        <v>1779125</v>
      </c>
      <c r="AW229" s="137">
        <v>2254153</v>
      </c>
      <c r="AX229" s="137">
        <v>4314548</v>
      </c>
      <c r="AY229" s="137">
        <v>830000</v>
      </c>
      <c r="AZ229" s="251">
        <v>0</v>
      </c>
      <c r="BA229" s="115">
        <v>32248772</v>
      </c>
      <c r="BB229" s="137">
        <v>21265382</v>
      </c>
      <c r="BC229" s="137">
        <v>7982350</v>
      </c>
      <c r="BD229" s="137">
        <v>3001040</v>
      </c>
      <c r="BE229" s="251" t="s">
        <v>185</v>
      </c>
      <c r="BF229" s="115">
        <v>1475896</v>
      </c>
      <c r="BG229" s="251" t="s">
        <v>185</v>
      </c>
      <c r="BH229" s="277">
        <v>289</v>
      </c>
      <c r="BI229" s="111"/>
    </row>
    <row r="230" spans="1:61" ht="15" customHeight="1">
      <c r="A230" s="135">
        <v>2007</v>
      </c>
      <c r="B230" s="274" t="s">
        <v>305</v>
      </c>
      <c r="C230" s="274" t="s">
        <v>306</v>
      </c>
      <c r="D230" s="137">
        <v>7</v>
      </c>
      <c r="E230" s="138">
        <v>1</v>
      </c>
      <c r="F230" s="135">
        <v>53</v>
      </c>
      <c r="G230" s="270" t="s">
        <v>186</v>
      </c>
      <c r="H230" s="270" t="s">
        <v>187</v>
      </c>
      <c r="I230" s="115">
        <v>7</v>
      </c>
      <c r="J230" s="137">
        <v>5</v>
      </c>
      <c r="K230" s="139">
        <v>2</v>
      </c>
      <c r="L230" s="139">
        <v>0.73</v>
      </c>
      <c r="M230" s="139">
        <v>0.55</v>
      </c>
      <c r="N230" s="137">
        <v>70.2</v>
      </c>
      <c r="O230" s="140">
        <v>0.74</v>
      </c>
      <c r="P230" s="140">
        <v>0.42</v>
      </c>
      <c r="Q230" s="140">
        <v>0.74</v>
      </c>
      <c r="R230" s="140">
        <v>0.14</v>
      </c>
      <c r="S230" s="140">
        <v>0.09</v>
      </c>
      <c r="T230" s="140">
        <v>0.05</v>
      </c>
      <c r="U230" s="140">
        <v>0.58</v>
      </c>
      <c r="V230" s="140">
        <v>0.02</v>
      </c>
      <c r="W230" s="267"/>
      <c r="X230" s="137">
        <v>21</v>
      </c>
      <c r="Y230" s="115">
        <v>3.2</v>
      </c>
      <c r="Z230" s="112">
        <v>0.4</v>
      </c>
      <c r="AA230" s="141">
        <v>30.5</v>
      </c>
      <c r="AB230" s="141">
        <v>230</v>
      </c>
      <c r="AC230" s="112">
        <v>0.45</v>
      </c>
      <c r="AD230" s="112">
        <v>0.25</v>
      </c>
      <c r="AE230" s="140">
        <v>0.2</v>
      </c>
      <c r="AF230" s="140">
        <v>0.4</v>
      </c>
      <c r="AG230" s="140">
        <v>0.4</v>
      </c>
      <c r="AH230" s="137">
        <v>19902840</v>
      </c>
      <c r="AI230" s="137">
        <v>14297244</v>
      </c>
      <c r="AJ230" s="137">
        <v>5605596</v>
      </c>
      <c r="AK230" s="137">
        <v>14297244</v>
      </c>
      <c r="AL230" s="137">
        <v>5605596</v>
      </c>
      <c r="AM230" s="137">
        <v>14297244</v>
      </c>
      <c r="AN230" s="137">
        <v>136200</v>
      </c>
      <c r="AO230" s="137">
        <v>1965980</v>
      </c>
      <c r="AP230" s="252" t="s">
        <v>185</v>
      </c>
      <c r="AQ230" s="137">
        <v>1565436</v>
      </c>
      <c r="AR230" s="137">
        <v>866041</v>
      </c>
      <c r="AS230" s="137">
        <v>6852680</v>
      </c>
      <c r="AT230" s="142">
        <v>24634020</v>
      </c>
      <c r="AU230" s="137">
        <v>13329752</v>
      </c>
      <c r="AV230" s="137">
        <v>5261552</v>
      </c>
      <c r="AW230" s="137">
        <v>6042716</v>
      </c>
      <c r="AX230" s="137">
        <v>14313867</v>
      </c>
      <c r="AY230" s="137">
        <v>2510356</v>
      </c>
      <c r="AZ230" s="252">
        <v>0</v>
      </c>
      <c r="BA230" s="115">
        <v>49964581</v>
      </c>
      <c r="BB230" s="137">
        <v>25365232</v>
      </c>
      <c r="BC230" s="137">
        <v>13265865</v>
      </c>
      <c r="BD230" s="137">
        <v>11333484</v>
      </c>
      <c r="BE230" s="252" t="s">
        <v>185</v>
      </c>
      <c r="BF230" s="115">
        <v>1974968</v>
      </c>
      <c r="BG230" s="252" t="s">
        <v>185</v>
      </c>
      <c r="BH230" s="278"/>
      <c r="BI230" s="109"/>
    </row>
    <row r="231" spans="1:61" ht="15" customHeight="1">
      <c r="A231" s="135">
        <v>2008</v>
      </c>
      <c r="B231" s="274" t="s">
        <v>305</v>
      </c>
      <c r="C231" s="274" t="s">
        <v>306</v>
      </c>
      <c r="D231" s="137">
        <v>11.79</v>
      </c>
      <c r="E231" s="138">
        <v>11</v>
      </c>
      <c r="F231" s="135">
        <v>76</v>
      </c>
      <c r="G231" s="270" t="s">
        <v>186</v>
      </c>
      <c r="H231" s="270" t="s">
        <v>187</v>
      </c>
      <c r="I231" s="115">
        <v>11.79</v>
      </c>
      <c r="J231" s="137">
        <v>8.2</v>
      </c>
      <c r="K231" s="139">
        <v>3.59</v>
      </c>
      <c r="L231" s="139">
        <v>0.899</v>
      </c>
      <c r="M231" s="139">
        <v>0.6</v>
      </c>
      <c r="N231" s="137">
        <v>191.57</v>
      </c>
      <c r="O231" s="140">
        <v>0.313</v>
      </c>
      <c r="P231" s="140">
        <v>0.142</v>
      </c>
      <c r="Q231" s="140">
        <v>0.313</v>
      </c>
      <c r="R231" s="140">
        <v>0.023</v>
      </c>
      <c r="S231" s="140">
        <v>0.013</v>
      </c>
      <c r="T231" s="140">
        <v>0.01</v>
      </c>
      <c r="U231" s="140">
        <v>0.23</v>
      </c>
      <c r="V231" s="140">
        <v>0.06</v>
      </c>
      <c r="W231" s="267"/>
      <c r="X231" s="137">
        <v>12</v>
      </c>
      <c r="Y231" s="115">
        <v>3.59</v>
      </c>
      <c r="Z231" s="112">
        <v>0.4</v>
      </c>
      <c r="AA231" s="138">
        <v>33.12</v>
      </c>
      <c r="AB231" s="138">
        <v>200</v>
      </c>
      <c r="AC231" s="112">
        <v>0.4</v>
      </c>
      <c r="AD231" s="112">
        <v>0.22</v>
      </c>
      <c r="AE231" s="140">
        <v>0.18</v>
      </c>
      <c r="AF231" s="140">
        <v>0.4</v>
      </c>
      <c r="AG231" s="140">
        <v>0.4</v>
      </c>
      <c r="AH231" s="137">
        <v>25135892</v>
      </c>
      <c r="AI231" s="137">
        <v>18621707</v>
      </c>
      <c r="AJ231" s="137">
        <v>6514185</v>
      </c>
      <c r="AK231" s="137">
        <v>18621707</v>
      </c>
      <c r="AL231" s="137">
        <v>6514185</v>
      </c>
      <c r="AM231" s="137">
        <v>18621707</v>
      </c>
      <c r="AN231" s="137">
        <v>1000110</v>
      </c>
      <c r="AO231" s="137">
        <v>2828735</v>
      </c>
      <c r="AP231" s="252" t="s">
        <v>185</v>
      </c>
      <c r="AQ231" s="137">
        <v>3176358</v>
      </c>
      <c r="AR231" s="137">
        <v>2685341</v>
      </c>
      <c r="AS231" s="137">
        <v>25135892</v>
      </c>
      <c r="AT231" s="142">
        <v>30950300</v>
      </c>
      <c r="AU231" s="137">
        <v>20327379</v>
      </c>
      <c r="AV231" s="137">
        <v>4372401</v>
      </c>
      <c r="AW231" s="137">
        <v>6250520</v>
      </c>
      <c r="AX231" s="137">
        <v>15037311</v>
      </c>
      <c r="AY231" s="137">
        <v>4282000</v>
      </c>
      <c r="AZ231" s="252">
        <v>0</v>
      </c>
      <c r="BA231" s="115">
        <v>396272476</v>
      </c>
      <c r="BB231" s="137">
        <v>385289086</v>
      </c>
      <c r="BC231" s="137">
        <v>7982350</v>
      </c>
      <c r="BD231" s="137">
        <v>3001040</v>
      </c>
      <c r="BE231" s="252" t="s">
        <v>185</v>
      </c>
      <c r="BF231" s="115">
        <v>1940539</v>
      </c>
      <c r="BG231" s="252" t="s">
        <v>185</v>
      </c>
      <c r="BH231" s="251">
        <v>190</v>
      </c>
      <c r="BI231" s="109"/>
    </row>
    <row r="232" spans="1:61" ht="15" customHeight="1">
      <c r="A232" s="143">
        <v>2009</v>
      </c>
      <c r="B232" s="274" t="s">
        <v>305</v>
      </c>
      <c r="C232" s="274" t="s">
        <v>306</v>
      </c>
      <c r="D232" s="137">
        <v>13.7</v>
      </c>
      <c r="E232" s="138">
        <v>14</v>
      </c>
      <c r="F232" s="135">
        <v>86</v>
      </c>
      <c r="G232" s="270" t="s">
        <v>186</v>
      </c>
      <c r="H232" s="270" t="s">
        <v>187</v>
      </c>
      <c r="I232" s="115">
        <v>13.7</v>
      </c>
      <c r="J232" s="137">
        <v>9.9</v>
      </c>
      <c r="K232" s="139">
        <v>3.8</v>
      </c>
      <c r="L232" s="139">
        <v>1.109</v>
      </c>
      <c r="M232" s="139">
        <v>0.81</v>
      </c>
      <c r="N232" s="137">
        <v>191.57</v>
      </c>
      <c r="O232" s="140">
        <v>0.348</v>
      </c>
      <c r="P232" s="140">
        <v>0.145</v>
      </c>
      <c r="Q232" s="140">
        <v>0.348</v>
      </c>
      <c r="R232" s="140">
        <v>0.024</v>
      </c>
      <c r="S232" s="140">
        <v>0.014</v>
      </c>
      <c r="T232" s="140">
        <v>0.012</v>
      </c>
      <c r="U232" s="140">
        <v>0.22</v>
      </c>
      <c r="V232" s="140">
        <v>0.08</v>
      </c>
      <c r="W232" s="267"/>
      <c r="X232" s="137">
        <v>60</v>
      </c>
      <c r="Y232" s="115">
        <v>3.8</v>
      </c>
      <c r="Z232" s="112">
        <v>0.4</v>
      </c>
      <c r="AA232" s="138">
        <v>33.12</v>
      </c>
      <c r="AB232" s="138">
        <v>240</v>
      </c>
      <c r="AC232" s="112">
        <v>0.41</v>
      </c>
      <c r="AD232" s="112">
        <v>0.23</v>
      </c>
      <c r="AE232" s="140">
        <v>0.18</v>
      </c>
      <c r="AF232" s="140">
        <v>0.4</v>
      </c>
      <c r="AG232" s="140">
        <v>0.4</v>
      </c>
      <c r="AH232" s="137">
        <v>35406750</v>
      </c>
      <c r="AI232" s="137">
        <v>27095327</v>
      </c>
      <c r="AJ232" s="137">
        <v>8311423</v>
      </c>
      <c r="AK232" s="137">
        <v>27095327</v>
      </c>
      <c r="AL232" s="137">
        <v>7643096</v>
      </c>
      <c r="AM232" s="137">
        <v>27095327</v>
      </c>
      <c r="AN232" s="137">
        <v>1200120</v>
      </c>
      <c r="AO232" s="137">
        <v>3021325</v>
      </c>
      <c r="AP232" s="252" t="s">
        <v>185</v>
      </c>
      <c r="AQ232" s="137">
        <v>3365210</v>
      </c>
      <c r="AR232" s="137">
        <v>2764200</v>
      </c>
      <c r="AS232" s="137">
        <v>63161231</v>
      </c>
      <c r="AT232" s="142">
        <v>35029883</v>
      </c>
      <c r="AU232" s="137">
        <v>20062095</v>
      </c>
      <c r="AV232" s="137">
        <v>6377836</v>
      </c>
      <c r="AW232" s="137">
        <v>8589952</v>
      </c>
      <c r="AX232" s="137">
        <v>21516147</v>
      </c>
      <c r="AY232" s="137">
        <v>4098424</v>
      </c>
      <c r="AZ232" s="252">
        <v>0</v>
      </c>
      <c r="BA232" s="115">
        <v>36774128</v>
      </c>
      <c r="BB232" s="137">
        <v>15365232</v>
      </c>
      <c r="BC232" s="137">
        <v>8555412</v>
      </c>
      <c r="BD232" s="137">
        <v>12853484</v>
      </c>
      <c r="BE232" s="252" t="s">
        <v>185</v>
      </c>
      <c r="BF232" s="115">
        <v>3450707</v>
      </c>
      <c r="BG232" s="252" t="s">
        <v>185</v>
      </c>
      <c r="BH232" s="252"/>
      <c r="BI232" s="111">
        <v>0.61</v>
      </c>
    </row>
    <row r="233" spans="1:61" ht="15" customHeight="1">
      <c r="A233" s="135">
        <v>2010</v>
      </c>
      <c r="B233" s="275" t="s">
        <v>305</v>
      </c>
      <c r="C233" s="275" t="s">
        <v>306</v>
      </c>
      <c r="D233" s="137">
        <v>16.6</v>
      </c>
      <c r="E233" s="138">
        <v>16</v>
      </c>
      <c r="F233" s="135">
        <v>102</v>
      </c>
      <c r="G233" s="271" t="s">
        <v>186</v>
      </c>
      <c r="H233" s="271" t="s">
        <v>187</v>
      </c>
      <c r="I233" s="115">
        <v>16.6</v>
      </c>
      <c r="J233" s="137">
        <v>12.6</v>
      </c>
      <c r="K233" s="139">
        <v>4</v>
      </c>
      <c r="L233" s="139">
        <v>1.479</v>
      </c>
      <c r="M233" s="139">
        <v>1.18</v>
      </c>
      <c r="N233" s="137">
        <v>214.9</v>
      </c>
      <c r="O233" s="140">
        <v>0.327</v>
      </c>
      <c r="P233" s="140">
        <v>0.148</v>
      </c>
      <c r="Q233" s="140">
        <v>0.327</v>
      </c>
      <c r="R233" s="140">
        <v>0.018</v>
      </c>
      <c r="S233" s="140">
        <v>0.012</v>
      </c>
      <c r="T233" s="140">
        <v>0.011</v>
      </c>
      <c r="U233" s="140">
        <v>0.18</v>
      </c>
      <c r="V233" s="140">
        <v>0.11</v>
      </c>
      <c r="W233" s="268"/>
      <c r="X233" s="137">
        <v>82</v>
      </c>
      <c r="Y233" s="115">
        <v>4</v>
      </c>
      <c r="Z233" s="112">
        <v>0.4</v>
      </c>
      <c r="AA233" s="138">
        <v>33.12</v>
      </c>
      <c r="AB233" s="138">
        <v>250</v>
      </c>
      <c r="AC233" s="112">
        <v>0.4</v>
      </c>
      <c r="AD233" s="112">
        <v>0.22</v>
      </c>
      <c r="AE233" s="140">
        <v>0.18</v>
      </c>
      <c r="AF233" s="140">
        <v>0.4</v>
      </c>
      <c r="AG233" s="140">
        <v>0.4</v>
      </c>
      <c r="AH233" s="137">
        <v>54170922</v>
      </c>
      <c r="AI233" s="137">
        <v>39043133</v>
      </c>
      <c r="AJ233" s="137">
        <v>15127789</v>
      </c>
      <c r="AK233" s="137">
        <v>39043133</v>
      </c>
      <c r="AL233" s="137">
        <v>15313740</v>
      </c>
      <c r="AM233" s="137">
        <v>39043133</v>
      </c>
      <c r="AN233" s="137">
        <v>1265210</v>
      </c>
      <c r="AO233" s="137">
        <v>3425620</v>
      </c>
      <c r="AP233" s="253" t="s">
        <v>185</v>
      </c>
      <c r="AQ233" s="137">
        <v>3500230</v>
      </c>
      <c r="AR233" s="137">
        <v>2860546</v>
      </c>
      <c r="AS233" s="137">
        <v>70686610</v>
      </c>
      <c r="AT233" s="142">
        <v>46558273</v>
      </c>
      <c r="AU233" s="137">
        <v>25115608</v>
      </c>
      <c r="AV233" s="137">
        <v>13283598</v>
      </c>
      <c r="AW233" s="137">
        <v>8159067</v>
      </c>
      <c r="AX233" s="137">
        <v>27514761</v>
      </c>
      <c r="AY233" s="137">
        <v>6383930</v>
      </c>
      <c r="AZ233" s="253">
        <v>0</v>
      </c>
      <c r="BA233" s="115">
        <v>38916544</v>
      </c>
      <c r="BB233" s="137">
        <v>15365232</v>
      </c>
      <c r="BC233" s="137">
        <v>9177828</v>
      </c>
      <c r="BD233" s="137">
        <v>14373484</v>
      </c>
      <c r="BE233" s="253" t="s">
        <v>185</v>
      </c>
      <c r="BF233" s="115">
        <v>3945869</v>
      </c>
      <c r="BG233" s="253" t="s">
        <v>185</v>
      </c>
      <c r="BH233" s="253"/>
      <c r="BI233" s="111">
        <v>0.76</v>
      </c>
    </row>
    <row r="234" spans="1:60" s="74" customFormat="1" ht="6" customHeight="1" thickBot="1">
      <c r="A234" s="76"/>
      <c r="B234" s="81"/>
      <c r="C234" s="81"/>
      <c r="D234" s="75"/>
      <c r="E234" s="78"/>
      <c r="H234" s="82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4"/>
      <c r="U234" s="83"/>
      <c r="V234" s="83"/>
      <c r="W234" s="83"/>
      <c r="X234" s="78"/>
      <c r="Y234" s="83"/>
      <c r="Z234" s="83"/>
      <c r="AA234" s="83"/>
      <c r="AB234" s="78"/>
      <c r="AC234" s="83"/>
      <c r="AD234" s="83"/>
      <c r="AE234" s="83"/>
      <c r="AF234" s="83"/>
      <c r="AG234" s="83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85"/>
    </row>
    <row r="235" spans="1:61" ht="15" customHeight="1">
      <c r="A235" s="135">
        <v>2005</v>
      </c>
      <c r="B235" s="276" t="s">
        <v>307</v>
      </c>
      <c r="C235" s="276" t="s">
        <v>308</v>
      </c>
      <c r="D235" s="310">
        <v>7.17</v>
      </c>
      <c r="E235" s="310">
        <v>1</v>
      </c>
      <c r="F235" s="135">
        <v>89</v>
      </c>
      <c r="G235" s="269" t="s">
        <v>186</v>
      </c>
      <c r="H235" s="269" t="s">
        <v>187</v>
      </c>
      <c r="I235" s="310">
        <v>6.8</v>
      </c>
      <c r="J235" s="137">
        <v>5.1</v>
      </c>
      <c r="K235" s="139">
        <v>1.7</v>
      </c>
      <c r="L235" s="139">
        <v>2.3</v>
      </c>
      <c r="M235" s="139">
        <v>2.1</v>
      </c>
      <c r="N235" s="310">
        <v>54</v>
      </c>
      <c r="O235" s="140">
        <v>0.587</v>
      </c>
      <c r="P235" s="140">
        <v>0</v>
      </c>
      <c r="Q235" s="140">
        <v>0.02</v>
      </c>
      <c r="R235" s="140">
        <v>0</v>
      </c>
      <c r="S235" s="140">
        <v>0</v>
      </c>
      <c r="T235" s="140">
        <v>0</v>
      </c>
      <c r="U235" s="140">
        <v>0.01</v>
      </c>
      <c r="V235" s="140">
        <v>0.01</v>
      </c>
      <c r="W235" s="310" t="s">
        <v>185</v>
      </c>
      <c r="X235" s="137">
        <v>36</v>
      </c>
      <c r="Y235" s="310">
        <v>3.87</v>
      </c>
      <c r="Z235" s="112">
        <v>0.18</v>
      </c>
      <c r="AA235" s="310">
        <v>26.6</v>
      </c>
      <c r="AB235" s="141">
        <v>25</v>
      </c>
      <c r="AC235" s="112">
        <v>0.02</v>
      </c>
      <c r="AD235" s="112">
        <v>0.01</v>
      </c>
      <c r="AE235" s="140">
        <v>0.01</v>
      </c>
      <c r="AF235" s="140">
        <v>0.02</v>
      </c>
      <c r="AG235" s="140">
        <v>0.02</v>
      </c>
      <c r="AH235" s="137">
        <v>5549223</v>
      </c>
      <c r="AI235" s="137">
        <v>3567332</v>
      </c>
      <c r="AJ235" s="137">
        <v>1981891</v>
      </c>
      <c r="AK235" s="137">
        <v>2735310</v>
      </c>
      <c r="AL235" s="137">
        <v>2813913</v>
      </c>
      <c r="AM235" s="137">
        <v>3567332</v>
      </c>
      <c r="AN235" s="137">
        <v>1981891</v>
      </c>
      <c r="AO235" s="137">
        <v>983451</v>
      </c>
      <c r="AP235" s="310">
        <v>0</v>
      </c>
      <c r="AQ235" s="137">
        <v>1538694</v>
      </c>
      <c r="AR235" s="137">
        <v>1275219</v>
      </c>
      <c r="AS235" s="137">
        <v>8380000</v>
      </c>
      <c r="AT235" s="142">
        <v>7733400</v>
      </c>
      <c r="AU235" s="137">
        <v>4314900</v>
      </c>
      <c r="AV235" s="137">
        <v>3418500</v>
      </c>
      <c r="AW235" s="137"/>
      <c r="AX235" s="137">
        <v>1584500</v>
      </c>
      <c r="AY235" s="137">
        <v>537400</v>
      </c>
      <c r="AZ235" s="310" t="s">
        <v>185</v>
      </c>
      <c r="BA235" s="115">
        <v>3235870</v>
      </c>
      <c r="BB235" s="137">
        <v>1100289</v>
      </c>
      <c r="BC235" s="137">
        <v>2135581</v>
      </c>
      <c r="BD235" s="137"/>
      <c r="BE235" s="251" t="s">
        <v>185</v>
      </c>
      <c r="BF235" s="115">
        <v>63935</v>
      </c>
      <c r="BG235" s="251" t="s">
        <v>185</v>
      </c>
      <c r="BH235" s="310">
        <v>180</v>
      </c>
      <c r="BI235" s="109"/>
    </row>
    <row r="236" spans="1:61" ht="15" customHeight="1">
      <c r="A236" s="135">
        <v>2006</v>
      </c>
      <c r="B236" s="274" t="s">
        <v>307</v>
      </c>
      <c r="C236" s="274" t="s">
        <v>308</v>
      </c>
      <c r="D236" s="311">
        <v>6.8</v>
      </c>
      <c r="E236" s="311">
        <v>1</v>
      </c>
      <c r="F236" s="135">
        <v>89</v>
      </c>
      <c r="G236" s="274" t="s">
        <v>186</v>
      </c>
      <c r="H236" s="274" t="s">
        <v>187</v>
      </c>
      <c r="I236" s="311">
        <v>6.8</v>
      </c>
      <c r="J236" s="137">
        <v>5.1</v>
      </c>
      <c r="K236" s="139">
        <v>1.7</v>
      </c>
      <c r="L236" s="139">
        <v>2.3</v>
      </c>
      <c r="M236" s="139">
        <v>2.2</v>
      </c>
      <c r="N236" s="311">
        <v>54</v>
      </c>
      <c r="O236" s="140">
        <v>0.59</v>
      </c>
      <c r="P236" s="140">
        <v>0.174</v>
      </c>
      <c r="Q236" s="140">
        <v>0.263</v>
      </c>
      <c r="R236" s="140">
        <v>0.216</v>
      </c>
      <c r="S236" s="140">
        <v>0.22</v>
      </c>
      <c r="T236" s="140">
        <v>0.002</v>
      </c>
      <c r="U236" s="140">
        <v>0.01</v>
      </c>
      <c r="V236" s="140">
        <v>0.03</v>
      </c>
      <c r="W236" s="311" t="s">
        <v>185</v>
      </c>
      <c r="X236" s="137">
        <v>200</v>
      </c>
      <c r="Y236" s="311">
        <v>3.87</v>
      </c>
      <c r="Z236" s="112">
        <v>0.18</v>
      </c>
      <c r="AA236" s="311">
        <v>26.6</v>
      </c>
      <c r="AB236" s="141">
        <v>135</v>
      </c>
      <c r="AC236" s="112">
        <v>0.13</v>
      </c>
      <c r="AD236" s="112">
        <v>0.08</v>
      </c>
      <c r="AE236" s="140">
        <v>0.05</v>
      </c>
      <c r="AF236" s="140">
        <v>0.13</v>
      </c>
      <c r="AG236" s="140">
        <v>0.13</v>
      </c>
      <c r="AH236" s="137">
        <v>29804170</v>
      </c>
      <c r="AI236" s="137">
        <v>21602986</v>
      </c>
      <c r="AJ236" s="137">
        <v>8201184</v>
      </c>
      <c r="AK236" s="137">
        <v>16040236</v>
      </c>
      <c r="AL236" s="137">
        <v>13763934</v>
      </c>
      <c r="AM236" s="137">
        <v>13144080</v>
      </c>
      <c r="AN236" s="137">
        <v>903148</v>
      </c>
      <c r="AO236" s="137">
        <v>1993008</v>
      </c>
      <c r="AP236" s="311">
        <v>0</v>
      </c>
      <c r="AQ236" s="137">
        <v>8458906</v>
      </c>
      <c r="AR236" s="137">
        <v>5305028</v>
      </c>
      <c r="AS236" s="137">
        <v>33514000</v>
      </c>
      <c r="AT236" s="142">
        <v>31817715</v>
      </c>
      <c r="AU236" s="137">
        <v>13834200</v>
      </c>
      <c r="AV236" s="137">
        <v>10913715</v>
      </c>
      <c r="AW236" s="137">
        <v>7069800</v>
      </c>
      <c r="AX236" s="137">
        <v>16660700</v>
      </c>
      <c r="AY236" s="137">
        <v>6965300</v>
      </c>
      <c r="AZ236" s="311" t="s">
        <v>185</v>
      </c>
      <c r="BA236" s="115">
        <v>3235870</v>
      </c>
      <c r="BB236" s="137">
        <v>1100289</v>
      </c>
      <c r="BC236" s="137">
        <v>2135581</v>
      </c>
      <c r="BD236" s="137"/>
      <c r="BE236" s="252"/>
      <c r="BF236" s="115">
        <v>4674500</v>
      </c>
      <c r="BG236" s="252" t="s">
        <v>185</v>
      </c>
      <c r="BH236" s="311">
        <v>180</v>
      </c>
      <c r="BI236" s="109"/>
    </row>
    <row r="237" spans="1:61" ht="15" customHeight="1">
      <c r="A237" s="135">
        <v>2007</v>
      </c>
      <c r="B237" s="274" t="s">
        <v>307</v>
      </c>
      <c r="C237" s="274" t="s">
        <v>308</v>
      </c>
      <c r="D237" s="311">
        <v>6.57</v>
      </c>
      <c r="E237" s="311">
        <v>1</v>
      </c>
      <c r="F237" s="135">
        <v>88</v>
      </c>
      <c r="G237" s="274" t="s">
        <v>186</v>
      </c>
      <c r="H237" s="274" t="s">
        <v>187</v>
      </c>
      <c r="I237" s="311">
        <v>6.6</v>
      </c>
      <c r="J237" s="137">
        <v>5.2</v>
      </c>
      <c r="K237" s="139">
        <v>1.4</v>
      </c>
      <c r="L237" s="139">
        <v>2.4</v>
      </c>
      <c r="M237" s="139">
        <v>2.2</v>
      </c>
      <c r="N237" s="311">
        <v>54</v>
      </c>
      <c r="O237" s="140">
        <v>0.64</v>
      </c>
      <c r="P237" s="140">
        <v>0.167</v>
      </c>
      <c r="Q237" s="140">
        <v>0.234</v>
      </c>
      <c r="R237" s="140">
        <v>0.184</v>
      </c>
      <c r="S237" s="140">
        <v>0.183</v>
      </c>
      <c r="T237" s="140">
        <v>0</v>
      </c>
      <c r="U237" s="140">
        <v>0.02</v>
      </c>
      <c r="V237" s="140">
        <v>0.03</v>
      </c>
      <c r="W237" s="311" t="s">
        <v>185</v>
      </c>
      <c r="X237" s="137">
        <v>135</v>
      </c>
      <c r="Y237" s="311">
        <v>3.81</v>
      </c>
      <c r="Z237" s="112">
        <v>0.18</v>
      </c>
      <c r="AA237" s="311">
        <v>26.6</v>
      </c>
      <c r="AB237" s="141">
        <v>83</v>
      </c>
      <c r="AC237" s="112">
        <v>0.12</v>
      </c>
      <c r="AD237" s="112">
        <v>0.07</v>
      </c>
      <c r="AE237" s="140">
        <v>0.05</v>
      </c>
      <c r="AF237" s="140">
        <v>0.12</v>
      </c>
      <c r="AG237" s="140">
        <v>0.12</v>
      </c>
      <c r="AH237" s="137">
        <v>30151540</v>
      </c>
      <c r="AI237" s="137">
        <v>20737715</v>
      </c>
      <c r="AJ237" s="137">
        <v>9413825</v>
      </c>
      <c r="AK237" s="137">
        <v>15951215</v>
      </c>
      <c r="AL237" s="137">
        <v>14200325</v>
      </c>
      <c r="AM237" s="137">
        <v>12466215</v>
      </c>
      <c r="AN237" s="137">
        <v>1113000</v>
      </c>
      <c r="AO237" s="137">
        <v>2372000</v>
      </c>
      <c r="AP237" s="311">
        <v>0</v>
      </c>
      <c r="AQ237" s="137">
        <v>8271500</v>
      </c>
      <c r="AR237" s="137">
        <v>5928825</v>
      </c>
      <c r="AS237" s="137">
        <v>36637000</v>
      </c>
      <c r="AT237" s="142">
        <v>34888000</v>
      </c>
      <c r="AU237" s="137">
        <v>15112200</v>
      </c>
      <c r="AV237" s="137">
        <v>12888000</v>
      </c>
      <c r="AW237" s="137">
        <v>6887800</v>
      </c>
      <c r="AX237" s="137">
        <v>19161500</v>
      </c>
      <c r="AY237" s="137">
        <v>7454000</v>
      </c>
      <c r="AZ237" s="311" t="s">
        <v>185</v>
      </c>
      <c r="BA237" s="115">
        <v>3275085</v>
      </c>
      <c r="BB237" s="137">
        <v>1120574</v>
      </c>
      <c r="BC237" s="137">
        <v>2154511</v>
      </c>
      <c r="BD237" s="137"/>
      <c r="BE237" s="253"/>
      <c r="BF237" s="115">
        <v>3657500</v>
      </c>
      <c r="BG237" s="253" t="s">
        <v>185</v>
      </c>
      <c r="BH237" s="311">
        <v>180</v>
      </c>
      <c r="BI237" s="109"/>
    </row>
    <row r="238" spans="1:61" ht="15" customHeight="1">
      <c r="A238" s="135">
        <v>2008</v>
      </c>
      <c r="B238" s="274"/>
      <c r="C238" s="274"/>
      <c r="D238" s="311"/>
      <c r="E238" s="311"/>
      <c r="F238" s="135"/>
      <c r="G238" s="274"/>
      <c r="H238" s="274"/>
      <c r="I238" s="311"/>
      <c r="J238" s="137"/>
      <c r="K238" s="139"/>
      <c r="L238" s="139">
        <v>2.4</v>
      </c>
      <c r="M238" s="139">
        <v>2.25</v>
      </c>
      <c r="N238" s="311"/>
      <c r="O238" s="140"/>
      <c r="P238" s="140"/>
      <c r="Q238" s="140"/>
      <c r="R238" s="140"/>
      <c r="S238" s="140"/>
      <c r="T238" s="140"/>
      <c r="U238" s="140"/>
      <c r="V238" s="140"/>
      <c r="W238" s="311"/>
      <c r="X238" s="137"/>
      <c r="Y238" s="311"/>
      <c r="Z238" s="112">
        <v>0.18</v>
      </c>
      <c r="AA238" s="311"/>
      <c r="AB238" s="141"/>
      <c r="AC238" s="112"/>
      <c r="AD238" s="112"/>
      <c r="AE238" s="140"/>
      <c r="AF238" s="140"/>
      <c r="AG238" s="140"/>
      <c r="AH238" s="137"/>
      <c r="AI238" s="137"/>
      <c r="AJ238" s="137"/>
      <c r="AK238" s="137"/>
      <c r="AL238" s="137"/>
      <c r="AM238" s="137"/>
      <c r="AN238" s="137"/>
      <c r="AO238" s="137"/>
      <c r="AP238" s="311"/>
      <c r="AQ238" s="137"/>
      <c r="AR238" s="137"/>
      <c r="AS238" s="137"/>
      <c r="AT238" s="142"/>
      <c r="AU238" s="137"/>
      <c r="AV238" s="137"/>
      <c r="AW238" s="137"/>
      <c r="AX238" s="137"/>
      <c r="AY238" s="137"/>
      <c r="AZ238" s="311"/>
      <c r="BA238" s="115"/>
      <c r="BB238" s="137"/>
      <c r="BC238" s="137"/>
      <c r="BD238" s="137"/>
      <c r="BE238" s="115"/>
      <c r="BF238" s="115"/>
      <c r="BG238" s="138"/>
      <c r="BH238" s="311"/>
      <c r="BI238" s="109"/>
    </row>
    <row r="239" spans="1:61" ht="15" customHeight="1">
      <c r="A239" s="143">
        <v>2009</v>
      </c>
      <c r="B239" s="274" t="s">
        <v>307</v>
      </c>
      <c r="C239" s="274" t="s">
        <v>308</v>
      </c>
      <c r="D239" s="311">
        <v>6.7</v>
      </c>
      <c r="E239" s="311">
        <v>1</v>
      </c>
      <c r="F239" s="143">
        <v>72</v>
      </c>
      <c r="G239" s="274" t="s">
        <v>186</v>
      </c>
      <c r="H239" s="274" t="s">
        <v>187</v>
      </c>
      <c r="I239" s="311">
        <v>6.7</v>
      </c>
      <c r="J239" s="144">
        <v>5.9</v>
      </c>
      <c r="K239" s="145">
        <v>0.8</v>
      </c>
      <c r="L239" s="145">
        <v>2.7</v>
      </c>
      <c r="M239" s="145">
        <v>2.3</v>
      </c>
      <c r="N239" s="311">
        <v>54</v>
      </c>
      <c r="O239" s="146">
        <v>0.4</v>
      </c>
      <c r="P239" s="146">
        <v>0.17</v>
      </c>
      <c r="Q239" s="146">
        <v>0.19</v>
      </c>
      <c r="R239" s="146">
        <v>0.16</v>
      </c>
      <c r="S239" s="146">
        <v>0.14</v>
      </c>
      <c r="T239" s="146">
        <v>0.02</v>
      </c>
      <c r="U239" s="146">
        <v>0.01</v>
      </c>
      <c r="V239" s="146">
        <v>0.03</v>
      </c>
      <c r="W239" s="311" t="s">
        <v>185</v>
      </c>
      <c r="X239" s="144">
        <v>128</v>
      </c>
      <c r="Y239" s="311">
        <v>3.7</v>
      </c>
      <c r="Z239" s="121">
        <v>0.18</v>
      </c>
      <c r="AA239" s="311">
        <v>26.6</v>
      </c>
      <c r="AB239" s="141">
        <v>98</v>
      </c>
      <c r="AC239" s="121">
        <v>0.1</v>
      </c>
      <c r="AD239" s="121">
        <v>0.06</v>
      </c>
      <c r="AE239" s="146">
        <v>0.04</v>
      </c>
      <c r="AF239" s="146">
        <v>0.1</v>
      </c>
      <c r="AG239" s="146">
        <v>0.1</v>
      </c>
      <c r="AH239" s="144">
        <v>37481439</v>
      </c>
      <c r="AI239" s="144">
        <v>24574638</v>
      </c>
      <c r="AJ239" s="144">
        <v>1202333</v>
      </c>
      <c r="AK239" s="144">
        <v>19307828</v>
      </c>
      <c r="AL239" s="144">
        <v>18173611</v>
      </c>
      <c r="AM239" s="144">
        <v>14402236</v>
      </c>
      <c r="AN239" s="144">
        <v>1202333</v>
      </c>
      <c r="AO239" s="144">
        <v>3703258</v>
      </c>
      <c r="AP239" s="311">
        <v>0</v>
      </c>
      <c r="AQ239" s="144">
        <v>10172402</v>
      </c>
      <c r="AR239" s="144">
        <v>2415056</v>
      </c>
      <c r="AS239" s="144">
        <v>44209037</v>
      </c>
      <c r="AT239" s="147">
        <v>43500921</v>
      </c>
      <c r="AU239" s="144">
        <v>13670817</v>
      </c>
      <c r="AV239" s="144">
        <v>13064154</v>
      </c>
      <c r="AW239" s="144">
        <v>8689088</v>
      </c>
      <c r="AX239" s="144">
        <v>25993958</v>
      </c>
      <c r="AY239" s="144">
        <v>10855649</v>
      </c>
      <c r="AZ239" s="311" t="s">
        <v>185</v>
      </c>
      <c r="BA239" s="120">
        <v>3558351</v>
      </c>
      <c r="BB239" s="144">
        <v>1479241</v>
      </c>
      <c r="BC239" s="144">
        <v>1418307</v>
      </c>
      <c r="BD239" s="144">
        <v>660803</v>
      </c>
      <c r="BE239" s="251">
        <v>0</v>
      </c>
      <c r="BF239" s="120">
        <v>3276302</v>
      </c>
      <c r="BG239" s="251" t="s">
        <v>184</v>
      </c>
      <c r="BH239" s="311">
        <v>180</v>
      </c>
      <c r="BI239" s="111">
        <v>2</v>
      </c>
    </row>
    <row r="240" spans="1:61" ht="15" customHeight="1">
      <c r="A240" s="135">
        <v>2010</v>
      </c>
      <c r="B240" s="275" t="s">
        <v>307</v>
      </c>
      <c r="C240" s="275" t="s">
        <v>308</v>
      </c>
      <c r="D240" s="312">
        <v>6.7</v>
      </c>
      <c r="E240" s="312">
        <v>1</v>
      </c>
      <c r="F240" s="135">
        <v>72</v>
      </c>
      <c r="G240" s="275" t="s">
        <v>186</v>
      </c>
      <c r="H240" s="275" t="s">
        <v>187</v>
      </c>
      <c r="I240" s="312">
        <v>6.7</v>
      </c>
      <c r="J240" s="137">
        <v>5.9</v>
      </c>
      <c r="K240" s="139">
        <v>0.8</v>
      </c>
      <c r="L240" s="139">
        <v>3</v>
      </c>
      <c r="M240" s="139">
        <v>2.3</v>
      </c>
      <c r="N240" s="312">
        <v>54</v>
      </c>
      <c r="O240" s="140">
        <v>0.6</v>
      </c>
      <c r="P240" s="140">
        <v>0.2</v>
      </c>
      <c r="Q240" s="140">
        <v>0.22</v>
      </c>
      <c r="R240" s="140">
        <v>0.17</v>
      </c>
      <c r="S240" s="140">
        <v>0.15</v>
      </c>
      <c r="T240" s="140">
        <v>0.02</v>
      </c>
      <c r="U240" s="140">
        <v>0.01</v>
      </c>
      <c r="V240" s="140">
        <v>0.04</v>
      </c>
      <c r="W240" s="312" t="s">
        <v>185</v>
      </c>
      <c r="X240" s="137">
        <v>167</v>
      </c>
      <c r="Y240" s="312">
        <v>3.7</v>
      </c>
      <c r="Z240" s="112">
        <v>0.18</v>
      </c>
      <c r="AA240" s="312">
        <v>26.6</v>
      </c>
      <c r="AB240" s="138">
        <v>105</v>
      </c>
      <c r="AC240" s="112">
        <v>0.13</v>
      </c>
      <c r="AD240" s="112">
        <v>0.08</v>
      </c>
      <c r="AE240" s="140">
        <v>0.05</v>
      </c>
      <c r="AF240" s="140">
        <v>0.13</v>
      </c>
      <c r="AG240" s="140">
        <v>0.13</v>
      </c>
      <c r="AH240" s="137">
        <v>45207357</v>
      </c>
      <c r="AI240" s="137">
        <v>25445517</v>
      </c>
      <c r="AJ240" s="137">
        <v>5283046</v>
      </c>
      <c r="AK240" s="137">
        <v>22471169</v>
      </c>
      <c r="AL240" s="137">
        <v>22736188</v>
      </c>
      <c r="AM240" s="137">
        <v>14437751</v>
      </c>
      <c r="AN240" s="137">
        <v>1870011</v>
      </c>
      <c r="AO240" s="137">
        <v>6163405</v>
      </c>
      <c r="AP240" s="312">
        <v>0</v>
      </c>
      <c r="AQ240" s="137">
        <v>11007766</v>
      </c>
      <c r="AR240" s="137">
        <v>3413035</v>
      </c>
      <c r="AS240" s="137">
        <v>55011300</v>
      </c>
      <c r="AT240" s="142">
        <v>50542306</v>
      </c>
      <c r="AU240" s="137">
        <v>15199217</v>
      </c>
      <c r="AV240" s="137">
        <v>14477968</v>
      </c>
      <c r="AW240" s="137">
        <v>9440891</v>
      </c>
      <c r="AX240" s="137">
        <v>30506608</v>
      </c>
      <c r="AY240" s="137">
        <v>11129904</v>
      </c>
      <c r="AZ240" s="312" t="s">
        <v>185</v>
      </c>
      <c r="BA240" s="115">
        <v>4321650</v>
      </c>
      <c r="BB240" s="137">
        <v>1479241</v>
      </c>
      <c r="BC240" s="137">
        <v>1418307</v>
      </c>
      <c r="BD240" s="137">
        <v>1424102</v>
      </c>
      <c r="BE240" s="273"/>
      <c r="BF240" s="115">
        <v>1821532</v>
      </c>
      <c r="BG240" s="273" t="s">
        <v>184</v>
      </c>
      <c r="BH240" s="312">
        <v>180</v>
      </c>
      <c r="BI240" s="111">
        <v>1.92</v>
      </c>
    </row>
  </sheetData>
  <sheetProtection/>
  <mergeCells count="315">
    <mergeCell ref="B1:I2"/>
    <mergeCell ref="BH235:BH240"/>
    <mergeCell ref="W131:W141"/>
    <mergeCell ref="AA235:AA240"/>
    <mergeCell ref="AP235:AP240"/>
    <mergeCell ref="AZ235:AZ240"/>
    <mergeCell ref="BE235:BE237"/>
    <mergeCell ref="BG235:BG237"/>
    <mergeCell ref="BE239:BE240"/>
    <mergeCell ref="BG239:BG240"/>
    <mergeCell ref="W229:W233"/>
    <mergeCell ref="I235:I240"/>
    <mergeCell ref="N235:N240"/>
    <mergeCell ref="W235:W240"/>
    <mergeCell ref="Y235:Y240"/>
    <mergeCell ref="G235:G240"/>
    <mergeCell ref="H235:H240"/>
    <mergeCell ref="E235:E240"/>
    <mergeCell ref="D235:D240"/>
    <mergeCell ref="BH229:BH230"/>
    <mergeCell ref="BH231:BH233"/>
    <mergeCell ref="BG229:BG233"/>
    <mergeCell ref="AP229:AP233"/>
    <mergeCell ref="AZ229:AZ233"/>
    <mergeCell ref="BE229:BE233"/>
    <mergeCell ref="H229:H233"/>
    <mergeCell ref="B235:B240"/>
    <mergeCell ref="C235:C240"/>
    <mergeCell ref="G229:G233"/>
    <mergeCell ref="BH226:BH227"/>
    <mergeCell ref="B229:B233"/>
    <mergeCell ref="C229:C233"/>
    <mergeCell ref="W225:W227"/>
    <mergeCell ref="AP225:AP227"/>
    <mergeCell ref="AZ225:AZ227"/>
    <mergeCell ref="BG226:BG227"/>
    <mergeCell ref="G225:G227"/>
    <mergeCell ref="BH220:BH223"/>
    <mergeCell ref="B225:B227"/>
    <mergeCell ref="C225:C227"/>
    <mergeCell ref="AG220:AG223"/>
    <mergeCell ref="AP220:AP223"/>
    <mergeCell ref="BE220:BE223"/>
    <mergeCell ref="BG220:BG223"/>
    <mergeCell ref="G220:G223"/>
    <mergeCell ref="H221:H223"/>
    <mergeCell ref="W220:W223"/>
    <mergeCell ref="BH208:BH218"/>
    <mergeCell ref="B220:B223"/>
    <mergeCell ref="C220:C223"/>
    <mergeCell ref="AP208:AP218"/>
    <mergeCell ref="AZ208:AZ218"/>
    <mergeCell ref="BE208:BE218"/>
    <mergeCell ref="BG208:BG210"/>
    <mergeCell ref="BG215:BG218"/>
    <mergeCell ref="G208:G218"/>
    <mergeCell ref="H208:H218"/>
    <mergeCell ref="W208:W218"/>
    <mergeCell ref="E208:E218"/>
    <mergeCell ref="BH196:BH206"/>
    <mergeCell ref="B208:B218"/>
    <mergeCell ref="C208:C218"/>
    <mergeCell ref="AP196:AP206"/>
    <mergeCell ref="BE196:BE206"/>
    <mergeCell ref="BG196:BG206"/>
    <mergeCell ref="G196:G203"/>
    <mergeCell ref="G204:G206"/>
    <mergeCell ref="H196:H206"/>
    <mergeCell ref="W196:W206"/>
    <mergeCell ref="E196:E206"/>
    <mergeCell ref="C197:C206"/>
    <mergeCell ref="B197:B202"/>
    <mergeCell ref="B203:B206"/>
    <mergeCell ref="BH191:BH194"/>
    <mergeCell ref="AP191:AP194"/>
    <mergeCell ref="BE191:BE194"/>
    <mergeCell ref="BG191:BG194"/>
    <mergeCell ref="G192:G194"/>
    <mergeCell ref="W191:W194"/>
    <mergeCell ref="E191:E194"/>
    <mergeCell ref="BH183:BH189"/>
    <mergeCell ref="B191:B194"/>
    <mergeCell ref="C191:C194"/>
    <mergeCell ref="AP183:AP189"/>
    <mergeCell ref="BG183:BG189"/>
    <mergeCell ref="G183:G189"/>
    <mergeCell ref="H183:H189"/>
    <mergeCell ref="W183:W189"/>
    <mergeCell ref="E183:E189"/>
    <mergeCell ref="BH172:BH179"/>
    <mergeCell ref="BH180:BH181"/>
    <mergeCell ref="B183:B189"/>
    <mergeCell ref="C183:C189"/>
    <mergeCell ref="BG172:BG180"/>
    <mergeCell ref="AP172:AP181"/>
    <mergeCell ref="AZ172:AZ181"/>
    <mergeCell ref="BE175:BE177"/>
    <mergeCell ref="G172:G181"/>
    <mergeCell ref="H172:H181"/>
    <mergeCell ref="W172:W181"/>
    <mergeCell ref="E172:E179"/>
    <mergeCell ref="E180:E181"/>
    <mergeCell ref="BH163:BH170"/>
    <mergeCell ref="B172:B181"/>
    <mergeCell ref="C172:C181"/>
    <mergeCell ref="BG163:BG166"/>
    <mergeCell ref="BG167:BG170"/>
    <mergeCell ref="W163:W170"/>
    <mergeCell ref="AP163:AP170"/>
    <mergeCell ref="AZ163:AZ170"/>
    <mergeCell ref="BE163:BE170"/>
    <mergeCell ref="G163:G170"/>
    <mergeCell ref="H163:H170"/>
    <mergeCell ref="E163:E170"/>
    <mergeCell ref="BH155:BH159"/>
    <mergeCell ref="BH160:BH161"/>
    <mergeCell ref="C163:C170"/>
    <mergeCell ref="AP155:AP161"/>
    <mergeCell ref="AZ155:AZ161"/>
    <mergeCell ref="BE155:BE161"/>
    <mergeCell ref="BG156:BG161"/>
    <mergeCell ref="G155:G161"/>
    <mergeCell ref="H155:H161"/>
    <mergeCell ref="W155:W161"/>
    <mergeCell ref="E155:E158"/>
    <mergeCell ref="E159:E161"/>
    <mergeCell ref="BH143:BH153"/>
    <mergeCell ref="B155:B161"/>
    <mergeCell ref="C155:C161"/>
    <mergeCell ref="AP143:AP153"/>
    <mergeCell ref="BE143:BE153"/>
    <mergeCell ref="BG143:BG153"/>
    <mergeCell ref="G143:G153"/>
    <mergeCell ref="H143:H153"/>
    <mergeCell ref="K143:K153"/>
    <mergeCell ref="T143:T153"/>
    <mergeCell ref="W143:W153"/>
    <mergeCell ref="E143:E153"/>
    <mergeCell ref="BH131:BH141"/>
    <mergeCell ref="B143:B153"/>
    <mergeCell ref="C143:C153"/>
    <mergeCell ref="H131:H141"/>
    <mergeCell ref="AP131:AP141"/>
    <mergeCell ref="BE131:BE141"/>
    <mergeCell ref="BG131:BG141"/>
    <mergeCell ref="G131:G141"/>
    <mergeCell ref="E131:E141"/>
    <mergeCell ref="B131:B141"/>
    <mergeCell ref="C131:C141"/>
    <mergeCell ref="BH123:BH129"/>
    <mergeCell ref="AG123:AG126"/>
    <mergeCell ref="AP123:AP129"/>
    <mergeCell ref="AZ123:AZ129"/>
    <mergeCell ref="BE123:BE129"/>
    <mergeCell ref="BG123:BG129"/>
    <mergeCell ref="BH119:BH121"/>
    <mergeCell ref="BH117:BH118"/>
    <mergeCell ref="G123:G129"/>
    <mergeCell ref="H123:H129"/>
    <mergeCell ref="W123:W129"/>
    <mergeCell ref="AZ117:AZ121"/>
    <mergeCell ref="BE117:BE121"/>
    <mergeCell ref="BG117:BG121"/>
    <mergeCell ref="G117:G121"/>
    <mergeCell ref="H117:H121"/>
    <mergeCell ref="E117:E119"/>
    <mergeCell ref="B117:B121"/>
    <mergeCell ref="C117:C121"/>
    <mergeCell ref="E123:E129"/>
    <mergeCell ref="B123:B129"/>
    <mergeCell ref="C123:C129"/>
    <mergeCell ref="B163:B167"/>
    <mergeCell ref="B168:B170"/>
    <mergeCell ref="H192:H194"/>
    <mergeCell ref="E7:E17"/>
    <mergeCell ref="BD30:BD35"/>
    <mergeCell ref="BF30:BF35"/>
    <mergeCell ref="C7:C17"/>
    <mergeCell ref="B19:B26"/>
    <mergeCell ref="B27:B29"/>
    <mergeCell ref="B7:B17"/>
    <mergeCell ref="H7:H17"/>
    <mergeCell ref="W7:W17"/>
    <mergeCell ref="E30:E35"/>
    <mergeCell ref="H30:H35"/>
    <mergeCell ref="G7:G17"/>
    <mergeCell ref="BG7:BG17"/>
    <mergeCell ref="AP7:AP17"/>
    <mergeCell ref="AZ7:AZ17"/>
    <mergeCell ref="H27:H29"/>
    <mergeCell ref="BH7:BH17"/>
    <mergeCell ref="C19:C35"/>
    <mergeCell ref="E19:E26"/>
    <mergeCell ref="AZ19:AZ26"/>
    <mergeCell ref="BD19:BD26"/>
    <mergeCell ref="BF19:BF26"/>
    <mergeCell ref="BG19:BG26"/>
    <mergeCell ref="H19:H26"/>
    <mergeCell ref="W19:W26"/>
    <mergeCell ref="BH19:BH35"/>
    <mergeCell ref="AP27:AP29"/>
    <mergeCell ref="AP19:AP26"/>
    <mergeCell ref="AP30:AP35"/>
    <mergeCell ref="BD27:BD29"/>
    <mergeCell ref="BF27:BF29"/>
    <mergeCell ref="BG27:BG29"/>
    <mergeCell ref="BG30:BG35"/>
    <mergeCell ref="B30:B32"/>
    <mergeCell ref="B33:B35"/>
    <mergeCell ref="G19:G35"/>
    <mergeCell ref="B37:B46"/>
    <mergeCell ref="C37:C46"/>
    <mergeCell ref="E37:E45"/>
    <mergeCell ref="H37:H46"/>
    <mergeCell ref="K37:K46"/>
    <mergeCell ref="T37:T46"/>
    <mergeCell ref="AZ37:AZ43"/>
    <mergeCell ref="BE37:BE46"/>
    <mergeCell ref="BG37:BG46"/>
    <mergeCell ref="B48:B52"/>
    <mergeCell ref="C48:C52"/>
    <mergeCell ref="E48:E52"/>
    <mergeCell ref="G48:G52"/>
    <mergeCell ref="H48:H52"/>
    <mergeCell ref="M48:M52"/>
    <mergeCell ref="AC48:AC49"/>
    <mergeCell ref="AE49:AE50"/>
    <mergeCell ref="AF48:AF49"/>
    <mergeCell ref="BG49:BG50"/>
    <mergeCell ref="BG51:BG52"/>
    <mergeCell ref="BH48:BH52"/>
    <mergeCell ref="AA48:AA52"/>
    <mergeCell ref="Z48:Z52"/>
    <mergeCell ref="AD48:AD50"/>
    <mergeCell ref="B54:B57"/>
    <mergeCell ref="B58:B64"/>
    <mergeCell ref="C54:C64"/>
    <mergeCell ref="E54:E61"/>
    <mergeCell ref="G54:G64"/>
    <mergeCell ref="H54:H64"/>
    <mergeCell ref="W54:W64"/>
    <mergeCell ref="AP54:AP64"/>
    <mergeCell ref="AZ54:AZ64"/>
    <mergeCell ref="BE54:BE64"/>
    <mergeCell ref="B66:B76"/>
    <mergeCell ref="C66:C76"/>
    <mergeCell ref="BF54:BF57"/>
    <mergeCell ref="L70:L72"/>
    <mergeCell ref="L74:L75"/>
    <mergeCell ref="M66:M67"/>
    <mergeCell ref="M68:M72"/>
    <mergeCell ref="BG54:BG61"/>
    <mergeCell ref="BG62:BG64"/>
    <mergeCell ref="BH54:BH57"/>
    <mergeCell ref="BH58:BH61"/>
    <mergeCell ref="BH62:BH64"/>
    <mergeCell ref="E66:E76"/>
    <mergeCell ref="G66:G76"/>
    <mergeCell ref="H66:H76"/>
    <mergeCell ref="K67:K75"/>
    <mergeCell ref="L68:L69"/>
    <mergeCell ref="W66:W76"/>
    <mergeCell ref="AG66:AG76"/>
    <mergeCell ref="AP66:AP76"/>
    <mergeCell ref="AZ66:AZ76"/>
    <mergeCell ref="BG66:BG76"/>
    <mergeCell ref="BH66:BH76"/>
    <mergeCell ref="B78:B86"/>
    <mergeCell ref="C78:C86"/>
    <mergeCell ref="E78:E86"/>
    <mergeCell ref="G78:G86"/>
    <mergeCell ref="H78:H86"/>
    <mergeCell ref="N78:N86"/>
    <mergeCell ref="W78:W86"/>
    <mergeCell ref="AP78:AP86"/>
    <mergeCell ref="AZ78:AZ86"/>
    <mergeCell ref="BG78:BG86"/>
    <mergeCell ref="BH78:BH86"/>
    <mergeCell ref="BE78:BE86"/>
    <mergeCell ref="B88:B93"/>
    <mergeCell ref="C88:C93"/>
    <mergeCell ref="E88:E93"/>
    <mergeCell ref="AG88:AG93"/>
    <mergeCell ref="AP88:AP93"/>
    <mergeCell ref="G88:G93"/>
    <mergeCell ref="H88:H93"/>
    <mergeCell ref="W88:W93"/>
    <mergeCell ref="BH88:BH93"/>
    <mergeCell ref="B95:B103"/>
    <mergeCell ref="C95:C103"/>
    <mergeCell ref="AZ88:AZ93"/>
    <mergeCell ref="BE88:BE93"/>
    <mergeCell ref="BG88:BG93"/>
    <mergeCell ref="E95:E103"/>
    <mergeCell ref="G95:G103"/>
    <mergeCell ref="H95:H103"/>
    <mergeCell ref="W95:W103"/>
    <mergeCell ref="AP95:AP103"/>
    <mergeCell ref="AZ95:AZ103"/>
    <mergeCell ref="BE95:BE103"/>
    <mergeCell ref="BG97:BG99"/>
    <mergeCell ref="BG100:BG103"/>
    <mergeCell ref="BH95:BH103"/>
    <mergeCell ref="B105:B115"/>
    <mergeCell ref="C105:C115"/>
    <mergeCell ref="E105:E115"/>
    <mergeCell ref="G105:G115"/>
    <mergeCell ref="H105:H115"/>
    <mergeCell ref="W105:W115"/>
    <mergeCell ref="AG105:AG115"/>
    <mergeCell ref="AP105:AP115"/>
    <mergeCell ref="AZ105:AZ115"/>
    <mergeCell ref="BE105:BE115"/>
    <mergeCell ref="BG105:BG115"/>
    <mergeCell ref="BH105:BH115"/>
  </mergeCells>
  <printOptions/>
  <pageMargins left="0.16" right="0.15" top="0.2" bottom="0.16" header="0.17" footer="0.16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zoomScale="60" zoomScaleNormal="60" zoomScalePageLayoutView="0" workbookViewId="0" topLeftCell="A1">
      <selection activeCell="A2" sqref="A2:IV2"/>
    </sheetView>
  </sheetViews>
  <sheetFormatPr defaultColWidth="9.140625" defaultRowHeight="12.75"/>
  <cols>
    <col min="2" max="2" width="22.421875" style="0" customWidth="1"/>
    <col min="3" max="3" width="14.8515625" style="0" customWidth="1"/>
    <col min="19" max="19" width="9.140625" style="23" customWidth="1"/>
    <col min="27" max="28" width="9.140625" style="23" customWidth="1"/>
    <col min="98" max="98" width="10.8515625" style="0" customWidth="1"/>
  </cols>
  <sheetData>
    <row r="1" spans="1:256" s="98" customFormat="1" ht="204" customHeight="1" thickTop="1">
      <c r="A1" s="86" t="s">
        <v>1</v>
      </c>
      <c r="B1" s="86" t="s">
        <v>2</v>
      </c>
      <c r="C1" s="86" t="s">
        <v>36</v>
      </c>
      <c r="D1" s="86" t="s">
        <v>37</v>
      </c>
      <c r="E1" s="86" t="s">
        <v>38</v>
      </c>
      <c r="F1" s="86" t="s">
        <v>39</v>
      </c>
      <c r="G1" s="86" t="s">
        <v>40</v>
      </c>
      <c r="H1" s="86" t="s">
        <v>41</v>
      </c>
      <c r="I1" s="86" t="s">
        <v>42</v>
      </c>
      <c r="J1" s="87" t="s">
        <v>5</v>
      </c>
      <c r="K1" s="86" t="s">
        <v>4</v>
      </c>
      <c r="L1" s="88" t="s">
        <v>43</v>
      </c>
      <c r="M1" s="88" t="s">
        <v>44</v>
      </c>
      <c r="N1" s="88" t="s">
        <v>45</v>
      </c>
      <c r="O1" s="88" t="s">
        <v>46</v>
      </c>
      <c r="P1" s="88" t="s">
        <v>47</v>
      </c>
      <c r="Q1" s="88" t="s">
        <v>48</v>
      </c>
      <c r="R1" s="89" t="s">
        <v>3</v>
      </c>
      <c r="S1" s="90" t="s">
        <v>49</v>
      </c>
      <c r="T1" s="91" t="s">
        <v>50</v>
      </c>
      <c r="U1" s="86" t="s">
        <v>51</v>
      </c>
      <c r="V1" s="86" t="s">
        <v>52</v>
      </c>
      <c r="W1" s="92" t="s">
        <v>53</v>
      </c>
      <c r="X1" s="88" t="s">
        <v>54</v>
      </c>
      <c r="Y1" s="92" t="s">
        <v>55</v>
      </c>
      <c r="Z1" s="88" t="s">
        <v>56</v>
      </c>
      <c r="AA1" s="91" t="s">
        <v>57</v>
      </c>
      <c r="AB1" s="91" t="s">
        <v>58</v>
      </c>
      <c r="AC1" s="86" t="s">
        <v>59</v>
      </c>
      <c r="AD1" s="86" t="s">
        <v>60</v>
      </c>
      <c r="AE1" s="88" t="s">
        <v>61</v>
      </c>
      <c r="AF1" s="88" t="s">
        <v>62</v>
      </c>
      <c r="AG1" s="88" t="s">
        <v>63</v>
      </c>
      <c r="AH1" s="87" t="s">
        <v>64</v>
      </c>
      <c r="AI1" s="88" t="s">
        <v>65</v>
      </c>
      <c r="AJ1" s="88" t="s">
        <v>66</v>
      </c>
      <c r="AK1" s="86" t="s">
        <v>67</v>
      </c>
      <c r="AL1" s="86" t="s">
        <v>68</v>
      </c>
      <c r="AM1" s="88" t="s">
        <v>69</v>
      </c>
      <c r="AN1" s="88" t="s">
        <v>70</v>
      </c>
      <c r="AO1" s="92" t="s">
        <v>71</v>
      </c>
      <c r="AP1" s="93" t="s">
        <v>72</v>
      </c>
      <c r="AQ1" s="88" t="s">
        <v>73</v>
      </c>
      <c r="AR1" s="86" t="s">
        <v>74</v>
      </c>
      <c r="AS1" s="86" t="s">
        <v>75</v>
      </c>
      <c r="AT1" s="88" t="s">
        <v>76</v>
      </c>
      <c r="AU1" s="92" t="s">
        <v>77</v>
      </c>
      <c r="AV1" s="88" t="s">
        <v>78</v>
      </c>
      <c r="AW1" s="88" t="s">
        <v>79</v>
      </c>
      <c r="AX1" s="88" t="s">
        <v>80</v>
      </c>
      <c r="AY1" s="88" t="s">
        <v>81</v>
      </c>
      <c r="AZ1" s="88" t="s">
        <v>82</v>
      </c>
      <c r="BA1" s="86" t="s">
        <v>83</v>
      </c>
      <c r="BB1" s="86" t="s">
        <v>84</v>
      </c>
      <c r="BC1" s="87" t="s">
        <v>85</v>
      </c>
      <c r="BD1" s="87" t="s">
        <v>86</v>
      </c>
      <c r="BE1" s="86" t="s">
        <v>87</v>
      </c>
      <c r="BF1" s="92" t="s">
        <v>88</v>
      </c>
      <c r="BG1" s="86" t="s">
        <v>89</v>
      </c>
      <c r="BH1" s="86" t="s">
        <v>90</v>
      </c>
      <c r="BI1" s="86" t="s">
        <v>91</v>
      </c>
      <c r="BJ1" s="86" t="s">
        <v>92</v>
      </c>
      <c r="BK1" s="87" t="s">
        <v>93</v>
      </c>
      <c r="BL1" s="87" t="s">
        <v>94</v>
      </c>
      <c r="BM1" s="87" t="s">
        <v>95</v>
      </c>
      <c r="BN1" s="93" t="s">
        <v>96</v>
      </c>
      <c r="BO1" s="93" t="s">
        <v>97</v>
      </c>
      <c r="BP1" s="93" t="s">
        <v>98</v>
      </c>
      <c r="BQ1" s="86" t="s">
        <v>99</v>
      </c>
      <c r="BR1" s="86" t="s">
        <v>100</v>
      </c>
      <c r="BS1" s="86" t="s">
        <v>101</v>
      </c>
      <c r="BT1" s="86" t="s">
        <v>102</v>
      </c>
      <c r="BU1" s="86" t="s">
        <v>103</v>
      </c>
      <c r="BV1" s="94" t="s">
        <v>104</v>
      </c>
      <c r="BW1" s="93" t="s">
        <v>105</v>
      </c>
      <c r="BX1" s="94" t="s">
        <v>106</v>
      </c>
      <c r="BY1" s="93" t="s">
        <v>107</v>
      </c>
      <c r="BZ1" s="88" t="s">
        <v>108</v>
      </c>
      <c r="CA1" s="94" t="s">
        <v>109</v>
      </c>
      <c r="CB1" s="93" t="s">
        <v>110</v>
      </c>
      <c r="CC1" s="93" t="s">
        <v>111</v>
      </c>
      <c r="CD1" s="86" t="s">
        <v>112</v>
      </c>
      <c r="CE1" s="86" t="s">
        <v>113</v>
      </c>
      <c r="CF1" s="92" t="s">
        <v>114</v>
      </c>
      <c r="CG1" s="92" t="s">
        <v>115</v>
      </c>
      <c r="CH1" s="92" t="s">
        <v>116</v>
      </c>
      <c r="CI1" s="92" t="s">
        <v>117</v>
      </c>
      <c r="CJ1" s="86" t="s">
        <v>118</v>
      </c>
      <c r="CK1" s="88" t="s">
        <v>119</v>
      </c>
      <c r="CL1" s="86" t="s">
        <v>120</v>
      </c>
      <c r="CM1" s="92" t="s">
        <v>121</v>
      </c>
      <c r="CN1" s="87" t="s">
        <v>122</v>
      </c>
      <c r="CO1" s="88" t="s">
        <v>123</v>
      </c>
      <c r="CP1" s="86" t="s">
        <v>124</v>
      </c>
      <c r="CQ1" s="92" t="s">
        <v>125</v>
      </c>
      <c r="CR1" s="88" t="s">
        <v>126</v>
      </c>
      <c r="CS1" s="88" t="s">
        <v>127</v>
      </c>
      <c r="CT1" s="93" t="s">
        <v>96</v>
      </c>
      <c r="CU1" s="93" t="s">
        <v>97</v>
      </c>
      <c r="CV1" s="93" t="s">
        <v>98</v>
      </c>
      <c r="CW1" s="93" t="s">
        <v>105</v>
      </c>
      <c r="CX1" s="94" t="s">
        <v>106</v>
      </c>
      <c r="CY1" s="93" t="s">
        <v>128</v>
      </c>
      <c r="CZ1" s="93" t="s">
        <v>108</v>
      </c>
      <c r="DA1" s="93" t="s">
        <v>110</v>
      </c>
      <c r="DB1" s="93" t="s">
        <v>111</v>
      </c>
      <c r="DC1" s="88" t="s">
        <v>117</v>
      </c>
      <c r="DD1" s="86" t="s">
        <v>118</v>
      </c>
      <c r="DE1" s="88" t="s">
        <v>119</v>
      </c>
      <c r="DF1" s="86" t="s">
        <v>120</v>
      </c>
      <c r="DG1" s="95" t="s">
        <v>129</v>
      </c>
      <c r="DH1" s="95" t="s">
        <v>130</v>
      </c>
      <c r="DI1" s="95" t="s">
        <v>131</v>
      </c>
      <c r="DJ1" s="95" t="s">
        <v>132</v>
      </c>
      <c r="DK1" s="95" t="s">
        <v>133</v>
      </c>
      <c r="DL1" s="95" t="s">
        <v>134</v>
      </c>
      <c r="DM1" s="95" t="s">
        <v>135</v>
      </c>
      <c r="DN1" s="95" t="s">
        <v>136</v>
      </c>
      <c r="DO1" s="95" t="s">
        <v>137</v>
      </c>
      <c r="DP1" s="95" t="s">
        <v>138</v>
      </c>
      <c r="DQ1" s="95" t="s">
        <v>139</v>
      </c>
      <c r="DR1" s="95" t="s">
        <v>140</v>
      </c>
      <c r="DS1" s="95" t="s">
        <v>141</v>
      </c>
      <c r="DT1" s="95" t="s">
        <v>142</v>
      </c>
      <c r="DU1" s="95" t="s">
        <v>143</v>
      </c>
      <c r="DV1" s="95" t="s">
        <v>144</v>
      </c>
      <c r="DW1" s="95" t="s">
        <v>145</v>
      </c>
      <c r="DX1" s="95" t="s">
        <v>146</v>
      </c>
      <c r="DY1" s="95" t="s">
        <v>147</v>
      </c>
      <c r="DZ1" s="95" t="s">
        <v>148</v>
      </c>
      <c r="EA1" s="96" t="s">
        <v>149</v>
      </c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s="106" customFormat="1" ht="14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  <c r="M2" s="100"/>
      <c r="N2" s="100"/>
      <c r="O2" s="100"/>
      <c r="P2" s="100"/>
      <c r="Q2" s="100"/>
      <c r="R2" s="101"/>
      <c r="S2" s="102"/>
      <c r="T2" s="102"/>
      <c r="U2" s="99"/>
      <c r="V2" s="99"/>
      <c r="W2" s="100"/>
      <c r="X2" s="100"/>
      <c r="Y2" s="100"/>
      <c r="Z2" s="100"/>
      <c r="AA2" s="102"/>
      <c r="AB2" s="102"/>
      <c r="AC2" s="99"/>
      <c r="AD2" s="99"/>
      <c r="AE2" s="100"/>
      <c r="AF2" s="100"/>
      <c r="AG2" s="100"/>
      <c r="AH2" s="99"/>
      <c r="AI2" s="100"/>
      <c r="AJ2" s="100"/>
      <c r="AK2" s="99"/>
      <c r="AL2" s="99"/>
      <c r="AM2" s="100"/>
      <c r="AN2" s="100"/>
      <c r="AO2" s="100"/>
      <c r="AP2" s="100"/>
      <c r="AQ2" s="100"/>
      <c r="AR2" s="99"/>
      <c r="AS2" s="99"/>
      <c r="AT2" s="100"/>
      <c r="AU2" s="100"/>
      <c r="AV2" s="100"/>
      <c r="AW2" s="100"/>
      <c r="AX2" s="100"/>
      <c r="AY2" s="100"/>
      <c r="AZ2" s="100"/>
      <c r="BA2" s="99"/>
      <c r="BB2" s="99"/>
      <c r="BC2" s="99"/>
      <c r="BD2" s="99"/>
      <c r="BE2" s="99"/>
      <c r="BF2" s="100"/>
      <c r="BG2" s="99"/>
      <c r="BH2" s="99"/>
      <c r="BI2" s="99"/>
      <c r="BJ2" s="99"/>
      <c r="BK2" s="99"/>
      <c r="BL2" s="99"/>
      <c r="BM2" s="99"/>
      <c r="BN2" s="103" t="s">
        <v>150</v>
      </c>
      <c r="BO2" s="103" t="s">
        <v>150</v>
      </c>
      <c r="BP2" s="103" t="s">
        <v>150</v>
      </c>
      <c r="BQ2" s="99"/>
      <c r="BR2" s="99"/>
      <c r="BS2" s="99"/>
      <c r="BT2" s="99"/>
      <c r="BU2" s="99"/>
      <c r="BV2" s="99"/>
      <c r="BW2" s="103" t="s">
        <v>150</v>
      </c>
      <c r="BX2" s="103" t="s">
        <v>150</v>
      </c>
      <c r="BY2" s="103" t="s">
        <v>150</v>
      </c>
      <c r="BZ2" s="103" t="s">
        <v>150</v>
      </c>
      <c r="CA2" s="103"/>
      <c r="CB2" s="103" t="s">
        <v>150</v>
      </c>
      <c r="CC2" s="103" t="s">
        <v>150</v>
      </c>
      <c r="CD2" s="99"/>
      <c r="CE2" s="99"/>
      <c r="CF2" s="100"/>
      <c r="CG2" s="100"/>
      <c r="CH2" s="100"/>
      <c r="CI2" s="103" t="s">
        <v>150</v>
      </c>
      <c r="CJ2" s="103" t="s">
        <v>150</v>
      </c>
      <c r="CK2" s="103" t="s">
        <v>150</v>
      </c>
      <c r="CL2" s="103" t="s">
        <v>150</v>
      </c>
      <c r="CM2" s="100"/>
      <c r="CN2" s="99"/>
      <c r="CO2" s="100"/>
      <c r="CP2" s="99"/>
      <c r="CQ2" s="100"/>
      <c r="CR2" s="100"/>
      <c r="CS2" s="100"/>
      <c r="CT2" s="103" t="s">
        <v>151</v>
      </c>
      <c r="CU2" s="103" t="s">
        <v>151</v>
      </c>
      <c r="CV2" s="103" t="s">
        <v>151</v>
      </c>
      <c r="CW2" s="103" t="s">
        <v>151</v>
      </c>
      <c r="CX2" s="103" t="s">
        <v>151</v>
      </c>
      <c r="CY2" s="103" t="s">
        <v>151</v>
      </c>
      <c r="CZ2" s="103" t="s">
        <v>151</v>
      </c>
      <c r="DA2" s="103" t="s">
        <v>151</v>
      </c>
      <c r="DB2" s="103" t="s">
        <v>151</v>
      </c>
      <c r="DC2" s="103" t="s">
        <v>151</v>
      </c>
      <c r="DD2" s="103" t="s">
        <v>151</v>
      </c>
      <c r="DE2" s="103" t="s">
        <v>151</v>
      </c>
      <c r="DF2" s="103" t="s">
        <v>151</v>
      </c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5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131" s="10" customFormat="1" ht="12.75">
      <c r="A3" s="10" t="e">
        <f>data!#REF!</f>
        <v>#REF!</v>
      </c>
      <c r="B3" s="10" t="str">
        <f>data!C7</f>
        <v>Астана</v>
      </c>
      <c r="C3" s="10" t="e">
        <f>data!#REF!</f>
        <v>#REF!</v>
      </c>
      <c r="D3" s="10">
        <f>data!A7</f>
        <v>2000</v>
      </c>
      <c r="E3" s="79"/>
      <c r="F3" s="79"/>
      <c r="G3" s="79"/>
      <c r="H3" s="79"/>
      <c r="I3" s="10" t="str">
        <f>data!G7</f>
        <v>отсутствует</v>
      </c>
      <c r="J3" s="15" t="str">
        <f>data!H7</f>
        <v>D</v>
      </c>
      <c r="K3" s="10" t="e">
        <f>data!#REF!</f>
        <v>#REF!</v>
      </c>
      <c r="L3" s="16">
        <f>data!E7</f>
        <v>1</v>
      </c>
      <c r="M3" s="16" t="e">
        <f>data!#REF!</f>
        <v>#REF!</v>
      </c>
      <c r="N3" s="17">
        <f>data!L7/data!N7*1000</f>
        <v>14.207317073170731</v>
      </c>
      <c r="O3" s="17">
        <f>data!Z7/data!AA7*1000</f>
        <v>30.574162679425836</v>
      </c>
      <c r="P3" s="15">
        <f>data!I7/data!L7</f>
        <v>31.659513590844064</v>
      </c>
      <c r="Q3" s="17">
        <f>data!Y7/data!Z7</f>
        <v>33.69327073552426</v>
      </c>
      <c r="R3" s="18" t="e">
        <f>data!#REF!</f>
        <v>#REF!</v>
      </c>
      <c r="S3" s="19">
        <f>data!I7/data!D7</f>
        <v>0.5808398950131234</v>
      </c>
      <c r="T3" s="19">
        <f>data!J7/data!D7</f>
        <v>0.30761154855643047</v>
      </c>
      <c r="U3" s="19">
        <f>data!K7/data!D7</f>
        <v>0.09947506561679789</v>
      </c>
      <c r="V3" s="19">
        <f>data!Y7/data!D7</f>
        <v>0.5650918635170604</v>
      </c>
      <c r="W3" s="17">
        <f>(data!O7/data!I7/365)*1000000</f>
        <v>620.1338293644652</v>
      </c>
      <c r="X3" s="17">
        <f>(data!O7/data!L7/12)*1000</f>
        <v>597.1745350500715</v>
      </c>
      <c r="Y3" s="17">
        <f>(data!Q7/data!I7/365)*1000000</f>
        <v>373.85561037208527</v>
      </c>
      <c r="Z3" s="17">
        <f>(data!Q7/data!L7/12)*1000</f>
        <v>360.0143061516452</v>
      </c>
      <c r="AA3" s="19">
        <f>data!R7/data!Q7</f>
        <v>0.5040068878733691</v>
      </c>
      <c r="AB3" s="19">
        <f>data!U7/data!Q7</f>
        <v>0.4265183124710246</v>
      </c>
      <c r="AC3" s="19">
        <f>data!V7/data!Q7</f>
        <v>0.06954102920723226</v>
      </c>
      <c r="AD3" s="19" t="e">
        <f>data!W7/data!Q7</f>
        <v>#VALUE!</v>
      </c>
      <c r="AE3" s="18">
        <f>(data!R7/data!I7/365)*1000000</f>
        <v>188.42580269763351</v>
      </c>
      <c r="AF3" s="18">
        <f>(data!S7/data!J7/365)*1000000</f>
        <v>342.69951844406</v>
      </c>
      <c r="AG3" s="17">
        <f>(data!T7/data!K7/365)*1000000</f>
        <v>40.48143998265081</v>
      </c>
      <c r="AH3" s="19">
        <f>((data!O7-data!Q7)/data!O7)</f>
        <v>0.3971372102772953</v>
      </c>
      <c r="AI3" s="17">
        <f>((data!O7-data!Q7)/data!N7/365)*1000000</f>
        <v>110.77514199799532</v>
      </c>
      <c r="AJ3" s="17">
        <f>((data!O7-data!Q7)/data!L7/365)*1000</f>
        <v>7.797048621318125</v>
      </c>
      <c r="AK3" s="19">
        <f>data!M7/data!L7</f>
        <v>0.018454935622317595</v>
      </c>
      <c r="AL3" s="19">
        <f>data!P7/data!Q7</f>
        <v>0.0970262931319955</v>
      </c>
      <c r="AM3" s="17">
        <f>data!X7/data!N7</f>
        <v>1.7845528455284554</v>
      </c>
      <c r="AN3" s="17">
        <f>data!AB7/data!AA7</f>
        <v>0</v>
      </c>
      <c r="AO3" s="20" t="e">
        <f>data!AT7/(data!Q7*1000000)/data!#REF!</f>
        <v>#REF!</v>
      </c>
      <c r="AP3" s="20" t="e">
        <f>data!AT7/(data!O7*1000000)/data!#REF!</f>
        <v>#REF!</v>
      </c>
      <c r="AQ3" s="20" t="e">
        <f>data!AU7/(data!Q7*1000000)/data!#REF!</f>
        <v>#REF!</v>
      </c>
      <c r="AR3" s="19">
        <f>data!AU7/data!AT7</f>
        <v>0.467990260564518</v>
      </c>
      <c r="AS3" s="19">
        <f>data!AV7/data!AT7</f>
        <v>0.311993122389162</v>
      </c>
      <c r="AT3" s="20" t="e">
        <f>data!AV7/data!#REF!/data!Y7/1000</f>
        <v>#REF!</v>
      </c>
      <c r="AU3" s="17" t="e">
        <f>data!#REF!/data!L7</f>
        <v>#REF!</v>
      </c>
      <c r="AV3" s="17">
        <f>data!F7/(data!L7+data!Z7)</f>
        <v>61.80866965620329</v>
      </c>
      <c r="AW3" s="17" t="e">
        <f>data!#REF!/data!I7</f>
        <v>#REF!</v>
      </c>
      <c r="AX3" s="17">
        <f>data!F7/(data!I7+data!Y7)</f>
        <v>1.8941823179111315</v>
      </c>
      <c r="AY3" s="17" t="e">
        <f>data!#REF!/data!Z7</f>
        <v>#REF!</v>
      </c>
      <c r="AZ3" s="17" t="e">
        <f>data!#REF!/data!Y7</f>
        <v>#REF!</v>
      </c>
      <c r="BA3" s="19" t="e">
        <f>data!#REF!/data!F7</f>
        <v>#REF!</v>
      </c>
      <c r="BB3" s="19" t="e">
        <f>data!#REF!/data!F7</f>
        <v>#REF!</v>
      </c>
      <c r="BC3" s="19">
        <f>data!AX7/data!AT7</f>
        <v>0.2606152922984606</v>
      </c>
      <c r="BD3" s="19">
        <f>data!AY7/data!AT7</f>
        <v>0.22343811304207345</v>
      </c>
      <c r="BE3" s="19" t="e">
        <f>data!AZ7/data!AT7</f>
        <v>#VALUE!</v>
      </c>
      <c r="BF3" s="16" t="e">
        <f>data!#REF!</f>
        <v>#REF!</v>
      </c>
      <c r="BG3" s="19" t="e">
        <f>data!#REF!/data!I7</f>
        <v>#REF!</v>
      </c>
      <c r="BH3" s="19" t="e">
        <f>data!#REF!/data!#REF!</f>
        <v>#REF!</v>
      </c>
      <c r="BI3" s="19" t="e">
        <f>data!#REF!/data!#REF!</f>
        <v>#REF!</v>
      </c>
      <c r="BJ3" s="19" t="e">
        <f>(data!#REF!/(1000*(data!L7+data!Z7)))</f>
        <v>#REF!</v>
      </c>
      <c r="BK3" s="19">
        <f>(data!AF7+data!AG7)/data!AC7</f>
        <v>2</v>
      </c>
      <c r="BL3" s="19">
        <f>data!AF7/data!AC7</f>
        <v>1</v>
      </c>
      <c r="BM3" s="19">
        <f>data!AG7/data!AC7</f>
        <v>1</v>
      </c>
      <c r="BN3" s="20" t="e">
        <f>data!AH7/data!#REF!/(data!Q7*1000000)</f>
        <v>#REF!</v>
      </c>
      <c r="BO3" s="20" t="e">
        <f>data!AH7/data!#REF!/(data!L7*1000)</f>
        <v>#REF!</v>
      </c>
      <c r="BP3" s="49" t="e">
        <f>data!AK7/data!#REF!/(data!Q7*1000000)</f>
        <v>#REF!</v>
      </c>
      <c r="BQ3" s="50">
        <f>data!AK7/data!AH7</f>
        <v>0.6734861249108772</v>
      </c>
      <c r="BR3" s="50">
        <f>data!AL7/data!AH7</f>
        <v>0.3265138750891228</v>
      </c>
      <c r="BS3" s="50">
        <f>data!AM7/data!AK7</f>
        <v>0.5051644401686255</v>
      </c>
      <c r="BT3" s="50">
        <f>data!AN7/data!AK7</f>
        <v>0.42531162766034003</v>
      </c>
      <c r="BU3" s="50">
        <f>data!AO7/data!AK7</f>
        <v>0.06952393217103445</v>
      </c>
      <c r="BV3" s="19">
        <f>data!AP7/data!AK7</f>
        <v>0</v>
      </c>
      <c r="BW3" s="20" t="e">
        <f>data!AL7/data!#REF!/data!Y7/1000</f>
        <v>#REF!</v>
      </c>
      <c r="BX3" s="19" t="e">
        <f>(data!AH7/data!#REF!)/(data!#REF!*data!I7*1000)</f>
        <v>#REF!</v>
      </c>
      <c r="BY3" s="20" t="e">
        <f>data!#REF!/data!#REF!*12</f>
        <v>#REF!</v>
      </c>
      <c r="BZ3" s="20" t="e">
        <f>data!#REF!/data!#REF!*12</f>
        <v>#REF!</v>
      </c>
      <c r="CA3" s="51" t="e">
        <f>(data!#REF!*12)/(data!AH7/(data!L7*1000))</f>
        <v>#REF!</v>
      </c>
      <c r="CB3" s="20" t="e">
        <f>data!#REF!/data!#REF!*12</f>
        <v>#REF!</v>
      </c>
      <c r="CC3" s="20" t="e">
        <f>data!#REF!/data!#REF!*12</f>
        <v>#REF!</v>
      </c>
      <c r="CD3" s="19" t="e">
        <f>((data!#REF!*12)/(data!AK7/(data!L7*1000)))</f>
        <v>#REF!</v>
      </c>
      <c r="CE3" s="19" t="e">
        <f>((data!#REF!*12)/(data!AL7/(data!Z7*1000)))</f>
        <v>#REF!</v>
      </c>
      <c r="CF3" s="21">
        <f>(data!AJ7/data!U7)/(data!AI7/data!R7)</f>
        <v>0.8919215851889668</v>
      </c>
      <c r="CG3" s="17">
        <f>(data!AN7/data!U7)/(data!AM7/data!R7)</f>
        <v>0.9948858949693409</v>
      </c>
      <c r="CH3" s="17">
        <f>(data!AR7/data!AE7)/(data!AQ7/data!AD7)</f>
        <v>0.9811818387231509</v>
      </c>
      <c r="CI3" s="20" t="e">
        <f>data!#REF!/data!#REF!</f>
        <v>#REF!</v>
      </c>
      <c r="CJ3" s="19" t="e">
        <f>data!#REF!/data!#REF!/data!#REF!</f>
        <v>#REF!</v>
      </c>
      <c r="CK3" s="20" t="e">
        <f>data!#REF!/data!#REF!</f>
        <v>#REF!</v>
      </c>
      <c r="CL3" s="19" t="e">
        <f>data!#REF!/data!#REF!/data!#REF!</f>
        <v>#REF!</v>
      </c>
      <c r="CM3" s="18">
        <f>data!BF7/data!AH7*365</f>
        <v>0.17085421367267364</v>
      </c>
      <c r="CN3" s="19">
        <f>data!AS7/data!AH7</f>
        <v>0.7920694462336311</v>
      </c>
      <c r="CO3" s="17">
        <f>data!AH7/data!AT7</f>
        <v>0.9047416280089547</v>
      </c>
      <c r="CP3" s="19" t="e">
        <f>data!BE7/data!AS7</f>
        <v>#VALUE!</v>
      </c>
      <c r="CQ3" s="17" t="e">
        <f>data!BA7/((data!I7+data!Y7)*1000)/data!#REF!</f>
        <v>#REF!</v>
      </c>
      <c r="CR3" s="17" t="e">
        <f>data!BB7/data!I7/data!#REF!/1000</f>
        <v>#REF!</v>
      </c>
      <c r="CS3" s="17" t="e">
        <f>data!BC7/data!Y7/data!#REF!/1000</f>
        <v>#REF!</v>
      </c>
      <c r="CT3" s="20" t="e">
        <f aca="true" t="shared" si="0" ref="CT3:CV4">BN3</f>
        <v>#REF!</v>
      </c>
      <c r="CU3" s="20" t="e">
        <f t="shared" si="0"/>
        <v>#REF!</v>
      </c>
      <c r="CV3" s="20" t="e">
        <f t="shared" si="0"/>
        <v>#REF!</v>
      </c>
      <c r="CW3" s="20" t="e">
        <f aca="true" t="shared" si="1" ref="CW3:CZ4">BW3</f>
        <v>#REF!</v>
      </c>
      <c r="CX3" s="19" t="e">
        <f t="shared" si="1"/>
        <v>#REF!</v>
      </c>
      <c r="CY3" s="20" t="e">
        <f t="shared" si="1"/>
        <v>#REF!</v>
      </c>
      <c r="CZ3" s="20" t="e">
        <f t="shared" si="1"/>
        <v>#REF!</v>
      </c>
      <c r="DA3" s="20" t="e">
        <f>CB3</f>
        <v>#REF!</v>
      </c>
      <c r="DB3" s="20" t="e">
        <f>CC3</f>
        <v>#REF!</v>
      </c>
      <c r="DC3" s="20" t="e">
        <f aca="true" t="shared" si="2" ref="DC3:DF4">CI3</f>
        <v>#REF!</v>
      </c>
      <c r="DD3" s="19" t="e">
        <f t="shared" si="2"/>
        <v>#REF!</v>
      </c>
      <c r="DE3" s="20" t="e">
        <f t="shared" si="2"/>
        <v>#REF!</v>
      </c>
      <c r="DF3" s="19" t="e">
        <f t="shared" si="2"/>
        <v>#REF!</v>
      </c>
      <c r="DG3" s="20" t="e">
        <f>data!#REF!</f>
        <v>#REF!</v>
      </c>
      <c r="DH3" s="15" t="e">
        <f>data!#REF!</f>
        <v>#REF!</v>
      </c>
      <c r="DI3" s="10" t="e">
        <f>data!#REF!</f>
        <v>#REF!</v>
      </c>
      <c r="DJ3" s="15" t="e">
        <f>data!#REF!</f>
        <v>#REF!</v>
      </c>
      <c r="DK3" s="15" t="e">
        <f>data!#REF!</f>
        <v>#REF!</v>
      </c>
      <c r="DL3" s="15" t="e">
        <f>data!#REF!</f>
        <v>#REF!</v>
      </c>
      <c r="DM3" s="15" t="e">
        <f>data!#REF!</f>
        <v>#REF!</v>
      </c>
      <c r="DN3" s="15" t="e">
        <f>data!#REF!</f>
        <v>#REF!</v>
      </c>
      <c r="DO3" s="15" t="e">
        <f>data!#REF!</f>
        <v>#REF!</v>
      </c>
      <c r="DP3" s="15" t="e">
        <f>data!#REF!</f>
        <v>#REF!</v>
      </c>
      <c r="DQ3" s="15" t="e">
        <f>data!#REF!</f>
        <v>#REF!</v>
      </c>
      <c r="DR3" s="15" t="e">
        <f>data!#REF!</f>
        <v>#REF!</v>
      </c>
      <c r="DS3" s="15" t="e">
        <f>data!#REF!</f>
        <v>#REF!</v>
      </c>
      <c r="DT3" s="15" t="e">
        <f>data!#REF!</f>
        <v>#REF!</v>
      </c>
      <c r="DU3" s="15" t="e">
        <f>data!#REF!</f>
        <v>#REF!</v>
      </c>
      <c r="DV3" s="15" t="e">
        <f>data!#REF!</f>
        <v>#REF!</v>
      </c>
      <c r="DW3" s="15" t="e">
        <f>data!#REF!</f>
        <v>#REF!</v>
      </c>
      <c r="DX3" s="15" t="e">
        <f>data!#REF!</f>
        <v>#REF!</v>
      </c>
      <c r="DY3" s="15" t="e">
        <f>data!#REF!</f>
        <v>#REF!</v>
      </c>
      <c r="DZ3" s="15" t="e">
        <f>data!#REF!</f>
        <v>#REF!</v>
      </c>
      <c r="EA3" s="15" t="e">
        <f>data!#REF!</f>
        <v>#REF!</v>
      </c>
    </row>
    <row r="4" spans="1:131" s="10" customFormat="1" ht="12.75">
      <c r="A4" s="10" t="e">
        <f>data!#REF!</f>
        <v>#REF!</v>
      </c>
      <c r="B4" s="10" t="str">
        <f>data!C8</f>
        <v>Астана</v>
      </c>
      <c r="C4" s="10" t="e">
        <f>data!#REF!</f>
        <v>#REF!</v>
      </c>
      <c r="D4" s="10">
        <f>data!A8</f>
        <v>2001</v>
      </c>
      <c r="E4" s="79"/>
      <c r="F4" s="79"/>
      <c r="G4" s="79"/>
      <c r="H4" s="79"/>
      <c r="I4" s="10" t="str">
        <f>data!G8</f>
        <v>отсутствует</v>
      </c>
      <c r="J4" s="15" t="str">
        <f>data!H8</f>
        <v>D</v>
      </c>
      <c r="K4" s="10" t="e">
        <f>data!#REF!</f>
        <v>#REF!</v>
      </c>
      <c r="L4" s="16">
        <f>data!E8</f>
        <v>1</v>
      </c>
      <c r="M4" s="16" t="e">
        <f>data!#REF!</f>
        <v>#REF!</v>
      </c>
      <c r="N4" s="17">
        <f>data!L8/data!N8*1000</f>
        <v>14.817813765182187</v>
      </c>
      <c r="O4" s="17">
        <f>data!Z8/data!AA8*1000</f>
        <v>30</v>
      </c>
      <c r="P4" s="15">
        <f>data!I8/data!L8</f>
        <v>33.30601092896175</v>
      </c>
      <c r="Q4" s="17">
        <f>data!Y8/data!Z8</f>
        <v>33.68421052631579</v>
      </c>
      <c r="R4" s="18" t="e">
        <f>data!#REF!</f>
        <v>#REF!</v>
      </c>
      <c r="S4" s="19">
        <f>data!I8/data!D9</f>
        <v>0.49442303792334213</v>
      </c>
      <c r="T4" s="19">
        <f>data!J8/data!D9</f>
        <v>0.25025349827621174</v>
      </c>
      <c r="U4" s="19">
        <f>data!K8/data!D9</f>
        <v>0.07787467045224092</v>
      </c>
      <c r="V4" s="19">
        <f>data!Y8/data!D9</f>
        <v>0.46724802271344557</v>
      </c>
      <c r="W4" s="17">
        <f>(data!O8/data!I8/365)*1000000</f>
        <v>690.9099081888367</v>
      </c>
      <c r="X4" s="17">
        <f>(data!O8/data!L8/12)*1000</f>
        <v>699.9316939890709</v>
      </c>
      <c r="Y4" s="17">
        <f>(data!Q8/data!I8/365)*1000000</f>
        <v>329.35147830581997</v>
      </c>
      <c r="Z4" s="17">
        <f>(data!Q8/data!L8/12)*1000</f>
        <v>333.6520947176685</v>
      </c>
      <c r="AA4" s="19">
        <f>data!R8/data!Q8</f>
        <v>0.48553296028388154</v>
      </c>
      <c r="AB4" s="19">
        <f>data!U8/data!Q8</f>
        <v>0.4466357308584687</v>
      </c>
      <c r="AC4" s="19">
        <f>data!V8/data!Q8</f>
        <v>0.0678995496110277</v>
      </c>
      <c r="AD4" s="19" t="e">
        <f>data!W8/data!Q8</f>
        <v>#VALUE!</v>
      </c>
      <c r="AE4" s="18">
        <f>(data!R8/data!I8/365)*1000000</f>
        <v>159.91099823569735</v>
      </c>
      <c r="AF4" s="18">
        <f>(data!S8/data!J8/365)*1000000</f>
        <v>303.05721453786555</v>
      </c>
      <c r="AG4" s="17">
        <f>(data!T8/data!K8/365)*1000000</f>
        <v>41.381278538812786</v>
      </c>
      <c r="AH4" s="19">
        <f>((data!O8-data!Q8)/data!O8)</f>
        <v>0.5233076347548876</v>
      </c>
      <c r="AI4" s="17">
        <f>((data!O8-data!Q8)/data!N8/365)*1000000</f>
        <v>178.43713604348068</v>
      </c>
      <c r="AJ4" s="17">
        <f>((data!O8-data!Q8)/data!L8/365)*1000</f>
        <v>12.042069017142</v>
      </c>
      <c r="AK4" s="19">
        <f>data!M8/data!L8</f>
        <v>0.019398907103825132</v>
      </c>
      <c r="AL4" s="19">
        <f>data!P8/data!Q8</f>
        <v>0.12965743141804284</v>
      </c>
      <c r="AM4" s="17">
        <f>data!X8/data!N8</f>
        <v>1.8582995951417005</v>
      </c>
      <c r="AN4" s="17">
        <f>data!AB8/data!AA8</f>
        <v>29.93421052631579</v>
      </c>
      <c r="AO4" s="20" t="e">
        <f>data!AT8/(data!Q8*1000000)/data!#REF!</f>
        <v>#REF!</v>
      </c>
      <c r="AP4" s="20" t="e">
        <f>data!AT8/(data!O8*1000000)/data!#REF!</f>
        <v>#REF!</v>
      </c>
      <c r="AQ4" s="20" t="e">
        <f>data!AU8/(data!Q8*1000000)/data!#REF!</f>
        <v>#REF!</v>
      </c>
      <c r="AR4" s="19">
        <f>data!AU8/data!AT8</f>
        <v>0.5125797127529158</v>
      </c>
      <c r="AS4" s="19">
        <f>data!AV8/data!AT8</f>
        <v>0.34172105816297327</v>
      </c>
      <c r="AT4" s="20" t="e">
        <f>data!AV8/data!#REF!/data!Y8/1000</f>
        <v>#REF!</v>
      </c>
      <c r="AU4" s="17" t="e">
        <f>data!#REF!/data!L8</f>
        <v>#REF!</v>
      </c>
      <c r="AV4" s="17">
        <f>data!F8/(data!L8+data!Z8)</f>
        <v>67.16101694915254</v>
      </c>
      <c r="AW4" s="17" t="e">
        <f>data!#REF!/data!I8</f>
        <v>#REF!</v>
      </c>
      <c r="AX4" s="17">
        <f>data!F8/(data!I8+data!Y8)</f>
        <v>2.0054829185997467</v>
      </c>
      <c r="AY4" s="17" t="e">
        <f>data!#REF!/data!Z8</f>
        <v>#REF!</v>
      </c>
      <c r="AZ4" s="17" t="e">
        <f>data!#REF!/data!Y8</f>
        <v>#REF!</v>
      </c>
      <c r="BA4" s="19" t="e">
        <f>data!#REF!/data!F8</f>
        <v>#REF!</v>
      </c>
      <c r="BB4" s="19" t="e">
        <f>data!#REF!/data!F8</f>
        <v>#REF!</v>
      </c>
      <c r="BC4" s="19">
        <f>data!AX8/data!AT8</f>
        <v>0.3196570430270789</v>
      </c>
      <c r="BD4" s="19">
        <f>data!AY8/data!AT8</f>
        <v>0.2277157321076658</v>
      </c>
      <c r="BE4" s="19">
        <f>data!AZ8/data!AT8</f>
        <v>0</v>
      </c>
      <c r="BF4" s="16" t="e">
        <f>data!#REF!</f>
        <v>#REF!</v>
      </c>
      <c r="BG4" s="19" t="e">
        <f>data!#REF!/data!I8</f>
        <v>#REF!</v>
      </c>
      <c r="BH4" s="19" t="e">
        <f>data!#REF!/data!#REF!</f>
        <v>#REF!</v>
      </c>
      <c r="BI4" s="19" t="e">
        <f>data!#REF!/data!#REF!</f>
        <v>#REF!</v>
      </c>
      <c r="BJ4" s="19" t="e">
        <f>(data!#REF!/(1000*(data!L8+data!Z8)))</f>
        <v>#REF!</v>
      </c>
      <c r="BK4" s="19">
        <f>(data!AF8+data!AG8)/data!AC8</f>
        <v>2</v>
      </c>
      <c r="BL4" s="19">
        <f>data!AF8/data!AC8</f>
        <v>1</v>
      </c>
      <c r="BM4" s="19">
        <f>data!AG8/data!AC8</f>
        <v>1</v>
      </c>
      <c r="BN4" s="20" t="e">
        <f>data!AH8/data!#REF!/(data!Q8*1000000)</f>
        <v>#REF!</v>
      </c>
      <c r="BO4" s="20" t="e">
        <f>data!AH8/data!#REF!/(data!L8*1000)</f>
        <v>#REF!</v>
      </c>
      <c r="BP4" s="49" t="e">
        <f>data!AK8/data!#REF!/(data!Q8*1000000)</f>
        <v>#REF!</v>
      </c>
      <c r="BQ4" s="50">
        <f>data!AK8/data!AH8</f>
        <v>0.6773168936147392</v>
      </c>
      <c r="BR4" s="50">
        <f>data!AL8/data!AH8</f>
        <v>0.3226831063852608</v>
      </c>
      <c r="BS4" s="50">
        <f>data!AM8/data!AK8</f>
        <v>0.48379898723425696</v>
      </c>
      <c r="BT4" s="50">
        <f>data!AN8/data!AK8</f>
        <v>0.3958963912572475</v>
      </c>
      <c r="BU4" s="50">
        <f>data!AO8/data!AK8</f>
        <v>0.1203046215084955</v>
      </c>
      <c r="BV4" s="19">
        <f>data!AP8/data!AK8</f>
        <v>0</v>
      </c>
      <c r="BW4" s="20" t="e">
        <f>data!AL8/data!#REF!/data!Y8/1000</f>
        <v>#REF!</v>
      </c>
      <c r="BX4" s="19" t="e">
        <f>(data!AH8/data!#REF!)/(data!#REF!*data!I8*1000)</f>
        <v>#REF!</v>
      </c>
      <c r="BY4" s="20" t="e">
        <f>data!#REF!/data!#REF!*12</f>
        <v>#REF!</v>
      </c>
      <c r="BZ4" s="20" t="e">
        <f>data!#REF!/data!#REF!*12</f>
        <v>#REF!</v>
      </c>
      <c r="CA4" s="51" t="e">
        <f>(data!#REF!*12)/(data!AH8/(data!L8*1000))</f>
        <v>#REF!</v>
      </c>
      <c r="CB4" s="20" t="e">
        <f>data!#REF!/data!#REF!*12</f>
        <v>#REF!</v>
      </c>
      <c r="CC4" s="20" t="e">
        <f>data!#REF!/data!#REF!*12</f>
        <v>#REF!</v>
      </c>
      <c r="CD4" s="19" t="e">
        <f>((data!#REF!*12)/(data!AK8/(data!L8*1000)))</f>
        <v>#REF!</v>
      </c>
      <c r="CE4" s="19" t="e">
        <f>((data!#REF!*12)/(data!AL8/(data!Z8*1000)))</f>
        <v>#REF!</v>
      </c>
      <c r="CF4" s="21">
        <f>(data!AJ8/data!U8)/(data!AI8/data!R8)</f>
        <v>0.9088035115583594</v>
      </c>
      <c r="CG4" s="17">
        <f>(data!AN8/data!U8)/(data!AM8/data!R8)</f>
        <v>0.8895735095566623</v>
      </c>
      <c r="CH4" s="17">
        <f>(data!AR8/data!AE8)/(data!AQ8/data!AD8)</f>
        <v>0.9948603822144123</v>
      </c>
      <c r="CI4" s="20" t="e">
        <f>data!#REF!/data!#REF!</f>
        <v>#REF!</v>
      </c>
      <c r="CJ4" s="19" t="e">
        <f>data!#REF!/data!#REF!/data!#REF!</f>
        <v>#REF!</v>
      </c>
      <c r="CK4" s="20" t="e">
        <f>data!#REF!/data!#REF!</f>
        <v>#REF!</v>
      </c>
      <c r="CL4" s="19" t="e">
        <f>data!#REF!/data!#REF!/data!#REF!</f>
        <v>#REF!</v>
      </c>
      <c r="CM4" s="18">
        <f>data!BF8/data!AH8*365</f>
        <v>0.18191009346067774</v>
      </c>
      <c r="CN4" s="19">
        <f>data!AS8/data!AH8</f>
        <v>0.7816642533627806</v>
      </c>
      <c r="CO4" s="17">
        <f>data!AH8/data!AT8</f>
        <v>1.025286890930835</v>
      </c>
      <c r="CP4" s="19" t="e">
        <f>data!BE8/data!AS8</f>
        <v>#VALUE!</v>
      </c>
      <c r="CQ4" s="17" t="e">
        <f>data!BA8/((data!I8+data!Y8)*1000)/data!#REF!</f>
        <v>#REF!</v>
      </c>
      <c r="CR4" s="17" t="e">
        <f>data!BB8/data!I8/data!#REF!/1000</f>
        <v>#REF!</v>
      </c>
      <c r="CS4" s="17" t="e">
        <f>data!BC8/data!Y8/data!#REF!/1000</f>
        <v>#REF!</v>
      </c>
      <c r="CT4" s="20" t="e">
        <f t="shared" si="0"/>
        <v>#REF!</v>
      </c>
      <c r="CU4" s="20" t="e">
        <f t="shared" si="0"/>
        <v>#REF!</v>
      </c>
      <c r="CV4" s="20" t="e">
        <f t="shared" si="0"/>
        <v>#REF!</v>
      </c>
      <c r="CW4" s="20" t="e">
        <f t="shared" si="1"/>
        <v>#REF!</v>
      </c>
      <c r="CX4" s="19" t="e">
        <f t="shared" si="1"/>
        <v>#REF!</v>
      </c>
      <c r="CY4" s="20" t="e">
        <f t="shared" si="1"/>
        <v>#REF!</v>
      </c>
      <c r="CZ4" s="20" t="e">
        <f t="shared" si="1"/>
        <v>#REF!</v>
      </c>
      <c r="DA4" s="20" t="e">
        <f>CB4</f>
        <v>#REF!</v>
      </c>
      <c r="DB4" s="20" t="e">
        <f>CC4</f>
        <v>#REF!</v>
      </c>
      <c r="DC4" s="20" t="e">
        <f t="shared" si="2"/>
        <v>#REF!</v>
      </c>
      <c r="DD4" s="19" t="e">
        <f t="shared" si="2"/>
        <v>#REF!</v>
      </c>
      <c r="DE4" s="20" t="e">
        <f t="shared" si="2"/>
        <v>#REF!</v>
      </c>
      <c r="DF4" s="19" t="e">
        <f t="shared" si="2"/>
        <v>#REF!</v>
      </c>
      <c r="DG4" s="20" t="e">
        <f>data!#REF!</f>
        <v>#REF!</v>
      </c>
      <c r="DH4" s="15" t="e">
        <f>data!#REF!</f>
        <v>#REF!</v>
      </c>
      <c r="DI4" s="10" t="e">
        <f>data!#REF!</f>
        <v>#REF!</v>
      </c>
      <c r="DJ4" s="15" t="e">
        <f>data!#REF!</f>
        <v>#REF!</v>
      </c>
      <c r="DK4" s="15" t="e">
        <f>data!#REF!</f>
        <v>#REF!</v>
      </c>
      <c r="DL4" s="15" t="e">
        <f>data!#REF!</f>
        <v>#REF!</v>
      </c>
      <c r="DM4" s="15" t="e">
        <f>data!#REF!</f>
        <v>#REF!</v>
      </c>
      <c r="DN4" s="15" t="e">
        <f>data!#REF!</f>
        <v>#REF!</v>
      </c>
      <c r="DO4" s="15" t="e">
        <f>data!#REF!</f>
        <v>#REF!</v>
      </c>
      <c r="DP4" s="15" t="e">
        <f>data!#REF!</f>
        <v>#REF!</v>
      </c>
      <c r="DQ4" s="15" t="e">
        <f>data!#REF!</f>
        <v>#REF!</v>
      </c>
      <c r="DR4" s="15" t="e">
        <f>data!#REF!</f>
        <v>#REF!</v>
      </c>
      <c r="DS4" s="15" t="e">
        <f>data!#REF!</f>
        <v>#REF!</v>
      </c>
      <c r="DT4" s="15" t="e">
        <f>data!#REF!</f>
        <v>#REF!</v>
      </c>
      <c r="DU4" s="15" t="e">
        <f>data!#REF!</f>
        <v>#REF!</v>
      </c>
      <c r="DV4" s="15" t="e">
        <f>data!#REF!</f>
        <v>#REF!</v>
      </c>
      <c r="DW4" s="15" t="e">
        <f>data!#REF!</f>
        <v>#REF!</v>
      </c>
      <c r="DX4" s="15" t="e">
        <f>data!#REF!</f>
        <v>#REF!</v>
      </c>
      <c r="DY4" s="15" t="e">
        <f>data!#REF!</f>
        <v>#REF!</v>
      </c>
      <c r="DZ4" s="15" t="e">
        <f>data!#REF!</f>
        <v>#REF!</v>
      </c>
      <c r="EA4" s="15" t="e">
        <f>data!#REF!</f>
        <v>#REF!</v>
      </c>
    </row>
    <row r="5" spans="1:131" s="10" customFormat="1" ht="12.75">
      <c r="A5" s="10" t="e">
        <f>data!#REF!</f>
        <v>#REF!</v>
      </c>
      <c r="B5" s="10" t="str">
        <f>data!C9</f>
        <v>Астана</v>
      </c>
      <c r="C5" s="10" t="e">
        <f>data!#REF!</f>
        <v>#REF!</v>
      </c>
      <c r="D5" s="10">
        <f>data!A9</f>
        <v>2002</v>
      </c>
      <c r="E5" s="79"/>
      <c r="F5" s="79"/>
      <c r="G5" s="79"/>
      <c r="H5" s="79"/>
      <c r="I5" s="10" t="str">
        <f>data!G9</f>
        <v>отсутствует</v>
      </c>
      <c r="J5" s="15" t="str">
        <f>data!H9</f>
        <v>D</v>
      </c>
      <c r="K5" s="10" t="e">
        <f>data!#REF!</f>
        <v>#REF!</v>
      </c>
      <c r="L5" s="16">
        <f>data!E9</f>
        <v>1</v>
      </c>
      <c r="M5" s="16" t="e">
        <f>data!#REF!</f>
        <v>#REF!</v>
      </c>
      <c r="N5" s="17">
        <f>data!L9/data!N9*1000</f>
        <v>13.743589743589743</v>
      </c>
      <c r="O5" s="17">
        <f>data!Z9/data!AA9*1000</f>
        <v>28.97119341563786</v>
      </c>
      <c r="P5" s="15">
        <f>data!I9/data!L9</f>
        <v>31.181592039800996</v>
      </c>
      <c r="Q5" s="17">
        <f>data!Y9/data!Z9</f>
        <v>34.97159090909091</v>
      </c>
      <c r="R5" s="18" t="e">
        <f>data!#REF!</f>
        <v>#REF!</v>
      </c>
      <c r="S5" s="19" t="e">
        <f>data!I9/data!#REF!</f>
        <v>#REF!</v>
      </c>
      <c r="T5" s="19" t="e">
        <f>data!J9/data!#REF!</f>
        <v>#REF!</v>
      </c>
      <c r="U5" s="19" t="e">
        <f>data!K9/data!#REF!</f>
        <v>#REF!</v>
      </c>
      <c r="V5" s="19" t="e">
        <f>data!Y9/data!#REF!</f>
        <v>#REF!</v>
      </c>
      <c r="W5" s="17">
        <f>(data!O9/data!I9/365)*1000000</f>
        <v>674.1452699564508</v>
      </c>
      <c r="X5" s="17">
        <f>(data!O9/data!L9/12)*1000</f>
        <v>639.3864013267</v>
      </c>
      <c r="Y5" s="17">
        <f>(data!Q9/data!I9/365)*1000000</f>
        <v>318.1229543579348</v>
      </c>
      <c r="Z5" s="17">
        <f>(data!Q9/data!L9/12)*1000</f>
        <v>301.72056384742956</v>
      </c>
      <c r="AA5" s="19">
        <f>data!R9/data!Q9</f>
        <v>0.4816214359326692</v>
      </c>
      <c r="AB5" s="19">
        <f>data!U9/data!Q9</f>
        <v>0.44211611130195805</v>
      </c>
      <c r="AC5" s="19">
        <f>data!V9/data!Q9</f>
        <v>0.07626245276537273</v>
      </c>
      <c r="AD5" s="19" t="e">
        <f>data!W9/data!Q9</f>
        <v>#VALUE!</v>
      </c>
      <c r="AE5" s="18">
        <f>(data!R9/data!I9/365)*1000000</f>
        <v>153.21483408101153</v>
      </c>
      <c r="AF5" s="18">
        <f>(data!S9/data!J9/365)*1000000</f>
        <v>225.25889655056565</v>
      </c>
      <c r="AG5" s="17">
        <f>(data!T9/data!K9/365)*1000000</f>
        <v>39.60267480360968</v>
      </c>
      <c r="AH5" s="19">
        <f>((data!O9-data!Q9)/data!O9)</f>
        <v>0.5281091946569836</v>
      </c>
      <c r="AI5" s="17">
        <f>((data!O9-data!Q9)/data!N9/365)*1000000</f>
        <v>152.572298325723</v>
      </c>
      <c r="AJ5" s="17">
        <f>((data!O9-data!Q9)/data!L9/365)*1000</f>
        <v>11.101342602058205</v>
      </c>
      <c r="AK5" s="19">
        <f>data!M9/data!L9</f>
        <v>0.021393034825870648</v>
      </c>
      <c r="AL5" s="19">
        <f>data!P9/data!Q9</f>
        <v>0.1453108897286156</v>
      </c>
      <c r="AM5" s="17">
        <f>data!X9/data!N9</f>
        <v>1.406837606837607</v>
      </c>
      <c r="AN5" s="17">
        <f>data!AB9/data!AA9</f>
        <v>30.279835390946502</v>
      </c>
      <c r="AO5" s="20" t="e">
        <f>data!AT9/(data!Q9*1000000)/data!#REF!</f>
        <v>#REF!</v>
      </c>
      <c r="AP5" s="20" t="e">
        <f>data!AT9/(data!O9*1000000)/data!#REF!</f>
        <v>#REF!</v>
      </c>
      <c r="AQ5" s="20" t="e">
        <f>data!AU9/(data!Q9*1000000)/data!#REF!</f>
        <v>#REF!</v>
      </c>
      <c r="AR5" s="19">
        <f>data!AU9/data!AT9</f>
        <v>0.48968460364163746</v>
      </c>
      <c r="AS5" s="19">
        <f>data!AV9/data!AT9</f>
        <v>0.3264567414433317</v>
      </c>
      <c r="AT5" s="20" t="e">
        <f>data!AV9/data!#REF!/data!Y9/1000</f>
        <v>#REF!</v>
      </c>
      <c r="AU5" s="17" t="e">
        <f>data!#REF!/data!L9</f>
        <v>#REF!</v>
      </c>
      <c r="AV5" s="17">
        <f>data!F9/(data!L9+data!Z9)</f>
        <v>62.931034482758626</v>
      </c>
      <c r="AW5" s="17" t="e">
        <f>data!#REF!/data!I9</f>
        <v>#REF!</v>
      </c>
      <c r="AX5" s="17">
        <f>data!F9/(data!I9+data!Y9)</f>
        <v>1.9098410142885893</v>
      </c>
      <c r="AY5" s="17" t="e">
        <f>data!#REF!/data!Z9</f>
        <v>#REF!</v>
      </c>
      <c r="AZ5" s="17" t="e">
        <f>data!#REF!/data!Y9</f>
        <v>#REF!</v>
      </c>
      <c r="BA5" s="19" t="e">
        <f>data!#REF!/data!F9</f>
        <v>#REF!</v>
      </c>
      <c r="BB5" s="19" t="e">
        <f>data!#REF!/data!F9</f>
        <v>#REF!</v>
      </c>
      <c r="BC5" s="19">
        <f>data!AX9/data!AT9</f>
        <v>0.3194187781404114</v>
      </c>
      <c r="BD5" s="19">
        <f>data!AY9/data!AT9</f>
        <v>0.20265571239546032</v>
      </c>
      <c r="BE5" s="19">
        <f>data!AZ9/data!AT9</f>
        <v>0</v>
      </c>
      <c r="BF5" s="16" t="e">
        <f>data!#REF!</f>
        <v>#REF!</v>
      </c>
      <c r="BG5" s="19" t="e">
        <f>data!#REF!/data!I9</f>
        <v>#REF!</v>
      </c>
      <c r="BH5" s="19" t="e">
        <f>data!#REF!/data!#REF!</f>
        <v>#REF!</v>
      </c>
      <c r="BI5" s="19" t="e">
        <f>data!#REF!/data!#REF!</f>
        <v>#REF!</v>
      </c>
      <c r="BJ5" s="19" t="e">
        <f>(data!#REF!/(1000*(data!L9+data!Z9)))</f>
        <v>#REF!</v>
      </c>
      <c r="BK5" s="19">
        <f>(data!AF9+data!AG9)/data!AC9</f>
        <v>2</v>
      </c>
      <c r="BL5" s="19">
        <f>data!AF9/data!AC9</f>
        <v>1</v>
      </c>
      <c r="BM5" s="19">
        <f>data!AG9/data!AC9</f>
        <v>1</v>
      </c>
      <c r="BN5" s="20" t="e">
        <f>data!AH9/data!#REF!/(data!Q9*1000000)</f>
        <v>#REF!</v>
      </c>
      <c r="BO5" s="20" t="e">
        <f>data!AH9/data!#REF!/(data!L9*1000)</f>
        <v>#REF!</v>
      </c>
      <c r="BP5" s="49" t="e">
        <f>data!AK9/data!#REF!/(data!Q9*1000000)</f>
        <v>#REF!</v>
      </c>
      <c r="BQ5" s="50">
        <f>data!AK9/data!AH9</f>
        <v>0.6715056220682204</v>
      </c>
      <c r="BR5" s="50">
        <f>data!AL9/data!AH9</f>
        <v>0.32849437793177966</v>
      </c>
      <c r="BS5" s="50">
        <f>data!AM9/data!AK9</f>
        <v>0.4815712497212623</v>
      </c>
      <c r="BT5" s="50">
        <f>data!AN9/data!AK9</f>
        <v>0.40975385095222616</v>
      </c>
      <c r="BU5" s="50">
        <f>data!AO9/data!AK9</f>
        <v>0.10867489932651149</v>
      </c>
      <c r="BV5" s="19">
        <f>data!AP9/data!AK9</f>
        <v>0</v>
      </c>
      <c r="BW5" s="20" t="e">
        <f>data!AL9/data!#REF!/data!Y9/1000</f>
        <v>#REF!</v>
      </c>
      <c r="BX5" s="19" t="e">
        <f>(data!AH9/data!#REF!)/(data!#REF!*data!I9*1000)</f>
        <v>#REF!</v>
      </c>
      <c r="BY5" s="20" t="e">
        <f>data!#REF!/data!#REF!*12</f>
        <v>#REF!</v>
      </c>
      <c r="BZ5" s="20" t="e">
        <f>data!#REF!/data!#REF!*12</f>
        <v>#REF!</v>
      </c>
      <c r="CA5" s="51" t="e">
        <f>(data!#REF!*12)/(data!AH9/(data!L9*1000))</f>
        <v>#REF!</v>
      </c>
      <c r="CB5" s="20" t="e">
        <f>data!#REF!/data!#REF!*12</f>
        <v>#REF!</v>
      </c>
      <c r="CC5" s="20" t="e">
        <f>data!#REF!/data!#REF!*12</f>
        <v>#REF!</v>
      </c>
      <c r="CD5" s="19" t="e">
        <f>((data!#REF!*12)/(data!AK9/(data!L9*1000)))</f>
        <v>#REF!</v>
      </c>
      <c r="CE5" s="19" t="e">
        <f>((data!#REF!*12)/(data!AL9/(data!Z9*1000)))</f>
        <v>#REF!</v>
      </c>
      <c r="CF5" s="21">
        <f>(data!AJ9/data!U9)/(data!AI9/data!R9)</f>
        <v>0.8801959360242839</v>
      </c>
      <c r="CG5" s="17">
        <f>(data!AN9/data!U9)/(data!AM9/data!R9)</f>
        <v>0.9268980305116131</v>
      </c>
      <c r="CH5" s="17">
        <f>(data!AR9/data!AE9)/(data!AQ9/data!AD9)</f>
        <v>0.783278110867356</v>
      </c>
      <c r="CI5" s="20" t="e">
        <f>data!#REF!/data!#REF!</f>
        <v>#REF!</v>
      </c>
      <c r="CJ5" s="19" t="e">
        <f>data!#REF!/data!#REF!/data!#REF!</f>
        <v>#REF!</v>
      </c>
      <c r="CK5" s="20" t="e">
        <f>data!#REF!/data!#REF!</f>
        <v>#REF!</v>
      </c>
      <c r="CL5" s="19" t="e">
        <f>data!#REF!/data!#REF!/data!#REF!</f>
        <v>#REF!</v>
      </c>
      <c r="CM5" s="18">
        <f>data!BF9/data!AH9*365</f>
        <v>0.12802793564544906</v>
      </c>
      <c r="CN5" s="19">
        <f>data!AS9/data!AH9</f>
        <v>0.8017111365787251</v>
      </c>
      <c r="CO5" s="17">
        <f>data!AH9/data!AT9</f>
        <v>1.0391949464982573</v>
      </c>
      <c r="CP5" s="19" t="e">
        <f>data!BE9/data!AS9</f>
        <v>#VALUE!</v>
      </c>
      <c r="CQ5" s="17" t="e">
        <f>data!BA9/((data!I9+data!Y9)*1000)/data!#REF!</f>
        <v>#REF!</v>
      </c>
      <c r="CR5" s="17" t="e">
        <f>data!BB9/data!I9/data!#REF!/1000</f>
        <v>#REF!</v>
      </c>
      <c r="CS5" s="17" t="e">
        <f>data!BC9/data!Y9/data!#REF!/1000</f>
        <v>#REF!</v>
      </c>
      <c r="CT5" s="20" t="e">
        <f aca="true" t="shared" si="3" ref="CT5:CT10">BN5</f>
        <v>#REF!</v>
      </c>
      <c r="CU5" s="20" t="e">
        <f aca="true" t="shared" si="4" ref="CU5:CU10">BO5</f>
        <v>#REF!</v>
      </c>
      <c r="CV5" s="20" t="e">
        <f aca="true" t="shared" si="5" ref="CV5:CV10">BP5</f>
        <v>#REF!</v>
      </c>
      <c r="CW5" s="20" t="e">
        <f aca="true" t="shared" si="6" ref="CW5:CW10">BW5</f>
        <v>#REF!</v>
      </c>
      <c r="CX5" s="19" t="e">
        <f aca="true" t="shared" si="7" ref="CX5:CX10">BX5</f>
        <v>#REF!</v>
      </c>
      <c r="CY5" s="20" t="e">
        <f aca="true" t="shared" si="8" ref="CY5:CY10">BY5</f>
        <v>#REF!</v>
      </c>
      <c r="CZ5" s="20" t="e">
        <f aca="true" t="shared" si="9" ref="CZ5:CZ10">BZ5</f>
        <v>#REF!</v>
      </c>
      <c r="DA5" s="20" t="e">
        <f aca="true" t="shared" si="10" ref="DA5:DA10">CB5</f>
        <v>#REF!</v>
      </c>
      <c r="DB5" s="20" t="e">
        <f aca="true" t="shared" si="11" ref="DB5:DB10">CC5</f>
        <v>#REF!</v>
      </c>
      <c r="DC5" s="20" t="e">
        <f aca="true" t="shared" si="12" ref="DC5:DC10">CI5</f>
        <v>#REF!</v>
      </c>
      <c r="DD5" s="19" t="e">
        <f aca="true" t="shared" si="13" ref="DD5:DD10">CJ5</f>
        <v>#REF!</v>
      </c>
      <c r="DE5" s="20" t="e">
        <f aca="true" t="shared" si="14" ref="DE5:DE10">CK5</f>
        <v>#REF!</v>
      </c>
      <c r="DF5" s="19" t="e">
        <f aca="true" t="shared" si="15" ref="DF5:DF10">CL5</f>
        <v>#REF!</v>
      </c>
      <c r="DG5" s="20" t="e">
        <f>data!#REF!</f>
        <v>#REF!</v>
      </c>
      <c r="DH5" s="15" t="e">
        <f>data!#REF!</f>
        <v>#REF!</v>
      </c>
      <c r="DI5" s="10" t="e">
        <f>data!#REF!</f>
        <v>#REF!</v>
      </c>
      <c r="DJ5" s="15" t="e">
        <f>data!#REF!</f>
        <v>#REF!</v>
      </c>
      <c r="DK5" s="15" t="e">
        <f>data!#REF!</f>
        <v>#REF!</v>
      </c>
      <c r="DL5" s="15" t="e">
        <f>data!#REF!</f>
        <v>#REF!</v>
      </c>
      <c r="DM5" s="15" t="e">
        <f>data!#REF!</f>
        <v>#REF!</v>
      </c>
      <c r="DN5" s="15" t="e">
        <f>data!#REF!</f>
        <v>#REF!</v>
      </c>
      <c r="DO5" s="15" t="e">
        <f>data!#REF!</f>
        <v>#REF!</v>
      </c>
      <c r="DP5" s="15" t="e">
        <f>data!#REF!</f>
        <v>#REF!</v>
      </c>
      <c r="DQ5" s="15" t="e">
        <f>data!#REF!</f>
        <v>#REF!</v>
      </c>
      <c r="DR5" s="15" t="e">
        <f>data!#REF!</f>
        <v>#REF!</v>
      </c>
      <c r="DS5" s="15" t="e">
        <f>data!#REF!</f>
        <v>#REF!</v>
      </c>
      <c r="DT5" s="15" t="e">
        <f>data!#REF!</f>
        <v>#REF!</v>
      </c>
      <c r="DU5" s="15" t="e">
        <f>data!#REF!</f>
        <v>#REF!</v>
      </c>
      <c r="DV5" s="15" t="e">
        <f>data!#REF!</f>
        <v>#REF!</v>
      </c>
      <c r="DW5" s="15" t="e">
        <f>data!#REF!</f>
        <v>#REF!</v>
      </c>
      <c r="DX5" s="15" t="e">
        <f>data!#REF!</f>
        <v>#REF!</v>
      </c>
      <c r="DY5" s="15" t="e">
        <f>data!#REF!</f>
        <v>#REF!</v>
      </c>
      <c r="DZ5" s="15" t="e">
        <f>data!#REF!</f>
        <v>#REF!</v>
      </c>
      <c r="EA5" s="15" t="e">
        <f>data!#REF!</f>
        <v>#REF!</v>
      </c>
    </row>
    <row r="6" spans="1:131" s="10" customFormat="1" ht="12.75">
      <c r="A6" s="10" t="e">
        <f>data!#REF!</f>
        <v>#REF!</v>
      </c>
      <c r="B6" s="10">
        <f>data!C10</f>
        <v>0</v>
      </c>
      <c r="C6" s="10" t="e">
        <f>data!#REF!</f>
        <v>#REF!</v>
      </c>
      <c r="D6" s="10">
        <f>data!A10</f>
        <v>2003</v>
      </c>
      <c r="E6" s="79"/>
      <c r="F6" s="79"/>
      <c r="G6" s="79"/>
      <c r="H6" s="79"/>
      <c r="I6" s="10">
        <f>data!G10</f>
        <v>0</v>
      </c>
      <c r="J6" s="15">
        <f>data!H10</f>
        <v>0</v>
      </c>
      <c r="K6" s="10" t="e">
        <f>data!#REF!</f>
        <v>#REF!</v>
      </c>
      <c r="L6" s="16">
        <f>data!E10</f>
        <v>0</v>
      </c>
      <c r="M6" s="16" t="e">
        <f>data!#REF!</f>
        <v>#REF!</v>
      </c>
      <c r="N6" s="17">
        <f>data!L10/data!N10*1000</f>
        <v>14.288135593220337</v>
      </c>
      <c r="O6" s="17">
        <f>data!Z10/data!AA10*1000</f>
        <v>29.32</v>
      </c>
      <c r="P6" s="15">
        <f>data!I10/data!L10</f>
        <v>30.88967971530249</v>
      </c>
      <c r="Q6" s="17">
        <f>data!Y10/data!Z10</f>
        <v>34.6793997271487</v>
      </c>
      <c r="R6" s="18" t="e">
        <f>data!#REF!</f>
        <v>#REF!</v>
      </c>
      <c r="S6" s="19">
        <f>data!I10/data!D10</f>
        <v>0.5187250996015936</v>
      </c>
      <c r="T6" s="19">
        <f>data!J10/data!D10</f>
        <v>0.38326693227091635</v>
      </c>
      <c r="U6" s="19">
        <f>data!K10/data!D10</f>
        <v>0.08824701195219123</v>
      </c>
      <c r="V6" s="19">
        <f>data!Y10/data!D10</f>
        <v>0.5063745019920318</v>
      </c>
      <c r="W6" s="17">
        <f>(data!O10/data!I10/365)*1000000</f>
        <v>623.6559139784946</v>
      </c>
      <c r="X6" s="17">
        <f>(data!O10/data!L10/12)*1000</f>
        <v>585.9628311585608</v>
      </c>
      <c r="Y6" s="17">
        <f>(data!Q10/data!I10/365)*1000000</f>
        <v>329.5772573280306</v>
      </c>
      <c r="Z6" s="17">
        <f>(data!Q10/data!L10/12)*1000</f>
        <v>309.657967576117</v>
      </c>
      <c r="AA6" s="19">
        <f>data!R10/data!Q10</f>
        <v>0.47470071827613725</v>
      </c>
      <c r="AB6" s="19">
        <f>data!U10/data!Q10</f>
        <v>0.4405426975259378</v>
      </c>
      <c r="AC6" s="19">
        <f>data!V10/data!Q10</f>
        <v>0.08491620111731844</v>
      </c>
      <c r="AD6" s="19">
        <f>data!W10/data!Q10</f>
        <v>0</v>
      </c>
      <c r="AE6" s="18">
        <f>(data!R10/data!I10/365)*1000000</f>
        <v>156.45056078109548</v>
      </c>
      <c r="AF6" s="18">
        <f>(data!S10/data!J10/365)*1000000</f>
        <v>202.06191439068152</v>
      </c>
      <c r="AG6" s="17">
        <f>(data!T10/data!K10/365)*1000000</f>
        <v>42.054485296391356</v>
      </c>
      <c r="AH6" s="19">
        <f>((data!O10-data!Q10)/data!O10)</f>
        <v>0.47153991497401987</v>
      </c>
      <c r="AI6" s="17">
        <f>((data!O10-data!Q10)/data!N10/365)*1000000</f>
        <v>129.79335964708616</v>
      </c>
      <c r="AJ6" s="17">
        <f>((data!O10-data!Q10)/data!L10/365)*1000</f>
        <v>9.083995515039245</v>
      </c>
      <c r="AK6" s="19">
        <f>data!M10/data!L10</f>
        <v>0.030011862396204035</v>
      </c>
      <c r="AL6" s="19">
        <f>data!P10/data!Q10</f>
        <v>0.1564245810055866</v>
      </c>
      <c r="AM6" s="17">
        <f>data!X10/data!N10</f>
        <v>1.2050847457627119</v>
      </c>
      <c r="AN6" s="17">
        <f>data!AB10/data!AA10</f>
        <v>25.764</v>
      </c>
      <c r="AO6" s="20" t="e">
        <f>data!AT10/(data!Q10*1000000)/data!#REF!</f>
        <v>#REF!</v>
      </c>
      <c r="AP6" s="20" t="e">
        <f>data!AT10/(data!O10*1000000)/data!#REF!</f>
        <v>#REF!</v>
      </c>
      <c r="AQ6" s="20" t="e">
        <f>data!AU10/(data!Q10*1000000)/data!#REF!</f>
        <v>#REF!</v>
      </c>
      <c r="AR6" s="19">
        <f>data!AU10/data!AT10</f>
        <v>0.5254064984856387</v>
      </c>
      <c r="AS6" s="19">
        <f>data!AV10/data!AT10</f>
        <v>0.35027130399773077</v>
      </c>
      <c r="AT6" s="20" t="e">
        <f>data!AV10/data!#REF!/data!Y10/1000</f>
        <v>#REF!</v>
      </c>
      <c r="AU6" s="17" t="e">
        <f>data!#REF!/data!L10</f>
        <v>#REF!</v>
      </c>
      <c r="AV6" s="17">
        <f>data!F10/(data!L10+data!Z10)</f>
        <v>61.92893401015228</v>
      </c>
      <c r="AW6" s="17" t="e">
        <f>data!#REF!/data!I10</f>
        <v>#REF!</v>
      </c>
      <c r="AX6" s="17">
        <f>data!F10/(data!I10+data!Y10)</f>
        <v>1.8966187329965025</v>
      </c>
      <c r="AY6" s="17" t="e">
        <f>data!#REF!/data!Z10</f>
        <v>#REF!</v>
      </c>
      <c r="AZ6" s="17" t="e">
        <f>data!#REF!/data!Y10</f>
        <v>#REF!</v>
      </c>
      <c r="BA6" s="19" t="e">
        <f>data!#REF!/data!F10</f>
        <v>#REF!</v>
      </c>
      <c r="BB6" s="19" t="e">
        <f>data!#REF!/data!F10</f>
        <v>#REF!</v>
      </c>
      <c r="BC6" s="19">
        <f>data!AX10/data!AT10</f>
        <v>0.3360884643187204</v>
      </c>
      <c r="BD6" s="19">
        <f>data!AY10/data!AT10</f>
        <v>0.19616331311134902</v>
      </c>
      <c r="BE6" s="19">
        <f>data!AZ10/data!AT10</f>
        <v>0</v>
      </c>
      <c r="BF6" s="16" t="e">
        <f>data!#REF!</f>
        <v>#REF!</v>
      </c>
      <c r="BG6" s="19" t="e">
        <f>data!#REF!/data!I10</f>
        <v>#REF!</v>
      </c>
      <c r="BH6" s="19" t="e">
        <f>data!#REF!/data!#REF!</f>
        <v>#REF!</v>
      </c>
      <c r="BI6" s="19" t="e">
        <f>data!#REF!/data!#REF!</f>
        <v>#REF!</v>
      </c>
      <c r="BJ6" s="19" t="e">
        <f>(data!#REF!/(1000*(data!L10+data!Z10)))</f>
        <v>#REF!</v>
      </c>
      <c r="BK6" s="19">
        <f>(data!AF10+data!AG10)/data!AC10</f>
        <v>2</v>
      </c>
      <c r="BL6" s="19">
        <f>data!AF10/data!AC10</f>
        <v>1</v>
      </c>
      <c r="BM6" s="19">
        <f>data!AG10/data!AC10</f>
        <v>1</v>
      </c>
      <c r="BN6" s="20" t="e">
        <f>data!AH10/data!#REF!/(data!Q10*1000000)</f>
        <v>#REF!</v>
      </c>
      <c r="BO6" s="20" t="e">
        <f>data!AH10/data!#REF!/(data!L10*1000)</f>
        <v>#REF!</v>
      </c>
      <c r="BP6" s="49" t="e">
        <f>data!AK10/data!#REF!/(data!Q10*1000000)</f>
        <v>#REF!</v>
      </c>
      <c r="BQ6" s="50">
        <f>data!AK10/data!AH10</f>
        <v>0.6632208502435247</v>
      </c>
      <c r="BR6" s="50">
        <f>data!AL10/data!AH10</f>
        <v>0.33677914975647527</v>
      </c>
      <c r="BS6" s="50">
        <f>data!AM10/data!AK10</f>
        <v>0.47462482392458555</v>
      </c>
      <c r="BT6" s="50">
        <f>data!AN10/data!AK10</f>
        <v>0.4192382706685448</v>
      </c>
      <c r="BU6" s="50">
        <f>data!AO10/data!AK10</f>
        <v>0.10613690540686965</v>
      </c>
      <c r="BV6" s="19">
        <f>data!AP10/data!AK10</f>
        <v>0</v>
      </c>
      <c r="BW6" s="20" t="e">
        <f>data!AL10/data!#REF!/data!Y10/1000</f>
        <v>#REF!</v>
      </c>
      <c r="BX6" s="19" t="e">
        <f>(data!AH10/data!#REF!)/(data!#REF!*data!I10*1000)</f>
        <v>#REF!</v>
      </c>
      <c r="BY6" s="20" t="e">
        <f>data!#REF!/data!#REF!*12</f>
        <v>#REF!</v>
      </c>
      <c r="BZ6" s="20" t="e">
        <f>data!#REF!/data!#REF!*12</f>
        <v>#REF!</v>
      </c>
      <c r="CA6" s="51" t="e">
        <f>(data!#REF!*12)/(data!AH10/(data!L10*1000))</f>
        <v>#REF!</v>
      </c>
      <c r="CB6" s="20" t="e">
        <f>data!#REF!/data!#REF!*12</f>
        <v>#REF!</v>
      </c>
      <c r="CC6" s="20" t="e">
        <f>data!#REF!/data!#REF!*12</f>
        <v>#REF!</v>
      </c>
      <c r="CD6" s="19" t="e">
        <f>((data!#REF!*12)/(data!AK10/(data!L10*1000)))</f>
        <v>#REF!</v>
      </c>
      <c r="CE6" s="19" t="e">
        <f>((data!#REF!*12)/(data!AL10/(data!Z10*1000)))</f>
        <v>#REF!</v>
      </c>
      <c r="CF6" s="21">
        <f>(data!AJ10/data!U10)/(data!AI10/data!R10)</f>
        <v>1.0050411077107242</v>
      </c>
      <c r="CG6" s="17">
        <f>(data!AN10/data!U10)/(data!AM10/data!R10)</f>
        <v>0.9517926658415814</v>
      </c>
      <c r="CH6" s="17">
        <f>(data!AR10/data!AE10)/(data!AQ10/data!AD10)</f>
        <v>0.9999042518119912</v>
      </c>
      <c r="CI6" s="20" t="e">
        <f>data!#REF!/data!#REF!</f>
        <v>#REF!</v>
      </c>
      <c r="CJ6" s="19" t="e">
        <f>data!#REF!/data!#REF!/data!#REF!</f>
        <v>#REF!</v>
      </c>
      <c r="CK6" s="20" t="e">
        <f>data!#REF!/data!#REF!</f>
        <v>#REF!</v>
      </c>
      <c r="CL6" s="19" t="e">
        <f>data!#REF!/data!#REF!/data!#REF!</f>
        <v>#REF!</v>
      </c>
      <c r="CM6" s="18">
        <f>data!BF10/data!AH10*365</f>
        <v>0.09200132227366394</v>
      </c>
      <c r="CN6" s="19">
        <f>data!AS10/data!AH10</f>
        <v>0.8914271393076388</v>
      </c>
      <c r="CO6" s="17">
        <f>data!AH10/data!AT10</f>
        <v>1.0186335062724752</v>
      </c>
      <c r="CP6" s="19" t="e">
        <f>data!BE10/data!AS10</f>
        <v>#VALUE!</v>
      </c>
      <c r="CQ6" s="17" t="e">
        <f>data!BA10/((data!I10+data!Y10)*1000)/data!#REF!</f>
        <v>#REF!</v>
      </c>
      <c r="CR6" s="17" t="e">
        <f>data!BB10/data!I10/data!#REF!/1000</f>
        <v>#REF!</v>
      </c>
      <c r="CS6" s="17" t="e">
        <f>data!BC10/data!Y10/data!#REF!/1000</f>
        <v>#REF!</v>
      </c>
      <c r="CT6" s="20" t="e">
        <f t="shared" si="3"/>
        <v>#REF!</v>
      </c>
      <c r="CU6" s="20" t="e">
        <f t="shared" si="4"/>
        <v>#REF!</v>
      </c>
      <c r="CV6" s="20" t="e">
        <f t="shared" si="5"/>
        <v>#REF!</v>
      </c>
      <c r="CW6" s="20" t="e">
        <f t="shared" si="6"/>
        <v>#REF!</v>
      </c>
      <c r="CX6" s="19" t="e">
        <f t="shared" si="7"/>
        <v>#REF!</v>
      </c>
      <c r="CY6" s="20" t="e">
        <f t="shared" si="8"/>
        <v>#REF!</v>
      </c>
      <c r="CZ6" s="20" t="e">
        <f t="shared" si="9"/>
        <v>#REF!</v>
      </c>
      <c r="DA6" s="20" t="e">
        <f t="shared" si="10"/>
        <v>#REF!</v>
      </c>
      <c r="DB6" s="20" t="e">
        <f t="shared" si="11"/>
        <v>#REF!</v>
      </c>
      <c r="DC6" s="20" t="e">
        <f t="shared" si="12"/>
        <v>#REF!</v>
      </c>
      <c r="DD6" s="19" t="e">
        <f t="shared" si="13"/>
        <v>#REF!</v>
      </c>
      <c r="DE6" s="20" t="e">
        <f t="shared" si="14"/>
        <v>#REF!</v>
      </c>
      <c r="DF6" s="19" t="e">
        <f t="shared" si="15"/>
        <v>#REF!</v>
      </c>
      <c r="DG6" s="20" t="e">
        <f>data!#REF!</f>
        <v>#REF!</v>
      </c>
      <c r="DH6" s="15" t="e">
        <f>data!#REF!</f>
        <v>#REF!</v>
      </c>
      <c r="DI6" s="10" t="e">
        <f>data!#REF!</f>
        <v>#REF!</v>
      </c>
      <c r="DJ6" s="15" t="e">
        <f>data!#REF!</f>
        <v>#REF!</v>
      </c>
      <c r="DK6" s="15" t="e">
        <f>data!#REF!</f>
        <v>#REF!</v>
      </c>
      <c r="DL6" s="15" t="e">
        <f>data!#REF!</f>
        <v>#REF!</v>
      </c>
      <c r="DM6" s="15" t="e">
        <f>data!#REF!</f>
        <v>#REF!</v>
      </c>
      <c r="DN6" s="15" t="e">
        <f>data!#REF!</f>
        <v>#REF!</v>
      </c>
      <c r="DO6" s="15" t="e">
        <f>data!#REF!</f>
        <v>#REF!</v>
      </c>
      <c r="DP6" s="15" t="e">
        <f>data!#REF!</f>
        <v>#REF!</v>
      </c>
      <c r="DQ6" s="15" t="e">
        <f>data!#REF!</f>
        <v>#REF!</v>
      </c>
      <c r="DR6" s="15" t="e">
        <f>data!#REF!</f>
        <v>#REF!</v>
      </c>
      <c r="DS6" s="15" t="e">
        <f>data!#REF!</f>
        <v>#REF!</v>
      </c>
      <c r="DT6" s="15" t="e">
        <f>data!#REF!</f>
        <v>#REF!</v>
      </c>
      <c r="DU6" s="15" t="e">
        <f>data!#REF!</f>
        <v>#REF!</v>
      </c>
      <c r="DV6" s="15" t="e">
        <f>data!#REF!</f>
        <v>#REF!</v>
      </c>
      <c r="DW6" s="15" t="e">
        <f>data!#REF!</f>
        <v>#REF!</v>
      </c>
      <c r="DX6" s="15" t="e">
        <f>data!#REF!</f>
        <v>#REF!</v>
      </c>
      <c r="DY6" s="15" t="e">
        <f>data!#REF!</f>
        <v>#REF!</v>
      </c>
      <c r="DZ6" s="15" t="e">
        <f>data!#REF!</f>
        <v>#REF!</v>
      </c>
      <c r="EA6" s="15" t="e">
        <f>data!#REF!</f>
        <v>#REF!</v>
      </c>
    </row>
    <row r="7" spans="1:131" s="10" customFormat="1" ht="12.75">
      <c r="A7" s="10" t="e">
        <f>data!#REF!</f>
        <v>#REF!</v>
      </c>
      <c r="B7" s="10">
        <f>data!C11</f>
        <v>0</v>
      </c>
      <c r="C7" s="10" t="e">
        <f>data!#REF!</f>
        <v>#REF!</v>
      </c>
      <c r="D7" s="10">
        <f>data!A11</f>
        <v>2004</v>
      </c>
      <c r="E7" s="79"/>
      <c r="F7" s="79"/>
      <c r="G7" s="79"/>
      <c r="H7" s="79"/>
      <c r="I7" s="10">
        <f>data!G11</f>
        <v>0</v>
      </c>
      <c r="J7" s="15">
        <f>data!H11</f>
        <v>0</v>
      </c>
      <c r="K7" s="10" t="e">
        <f>data!#REF!</f>
        <v>#REF!</v>
      </c>
      <c r="L7" s="16">
        <f>data!E11</f>
        <v>0</v>
      </c>
      <c r="M7" s="16" t="e">
        <f>data!#REF!</f>
        <v>#REF!</v>
      </c>
      <c r="N7" s="17">
        <f>data!L11/data!N11*1000</f>
        <v>14.187192118226601</v>
      </c>
      <c r="O7" s="17">
        <f>data!Z11/data!AA11*1000</f>
        <v>29.482071713147413</v>
      </c>
      <c r="P7" s="15">
        <f>data!I11/data!L11</f>
        <v>32.43055555555555</v>
      </c>
      <c r="Q7" s="17">
        <f>data!Y11/data!Z11</f>
        <v>36.47297297297297</v>
      </c>
      <c r="R7" s="18" t="e">
        <f>data!#REF!</f>
        <v>#REF!</v>
      </c>
      <c r="S7" s="19">
        <f>data!I11/data!D11</f>
        <v>0.5488736532810969</v>
      </c>
      <c r="T7" s="19">
        <f>data!J11/data!D11</f>
        <v>0.48364348677766894</v>
      </c>
      <c r="U7" s="19">
        <f>data!K11/data!D11</f>
        <v>0.09245837414299707</v>
      </c>
      <c r="V7" s="19">
        <f>data!Y11/data!D11</f>
        <v>0.5286973555337904</v>
      </c>
      <c r="W7" s="17">
        <f>(data!O11/data!I11/365)*1000000</f>
        <v>582.7833347999962</v>
      </c>
      <c r="X7" s="17">
        <f>(data!O11/data!L11/12)*1000</f>
        <v>574.8746141975308</v>
      </c>
      <c r="Y7" s="17">
        <f>(data!Q11/data!I11/365)*1000000</f>
        <v>339.4248726447841</v>
      </c>
      <c r="Z7" s="17">
        <f>(data!Q11/data!L11/12)*1000</f>
        <v>334.8186728395062</v>
      </c>
      <c r="AA7" s="19">
        <f>data!R11/data!Q11</f>
        <v>0.46638243936164087</v>
      </c>
      <c r="AB7" s="19">
        <f>data!U11/data!Q11</f>
        <v>0.4490983464884485</v>
      </c>
      <c r="AC7" s="19">
        <f>data!V11/data!Q11</f>
        <v>0.08440398686408943</v>
      </c>
      <c r="AD7" s="19">
        <f>data!W11/data!Q11</f>
        <v>0</v>
      </c>
      <c r="AE7" s="18">
        <f>(data!R11/data!I11/365)*1000000</f>
        <v>158.30180008408868</v>
      </c>
      <c r="AF7" s="18">
        <f>(data!S11/data!J11/365)*1000000</f>
        <v>171.66286611517057</v>
      </c>
      <c r="AG7" s="17">
        <f>(data!T11/data!K11/365)*1000000</f>
        <v>41.792430926398886</v>
      </c>
      <c r="AH7" s="19">
        <f>((data!O11-data!Q11)/data!O11)</f>
        <v>0.41757965203093805</v>
      </c>
      <c r="AI7" s="17">
        <f>((data!O11-data!Q11)/data!N11/365)*1000000</f>
        <v>111.96886879456555</v>
      </c>
      <c r="AJ7" s="17">
        <f>((data!O11-data!Q11)/data!L11/365)*1000</f>
        <v>7.892250126839167</v>
      </c>
      <c r="AK7" s="19">
        <f>data!M11/data!L11</f>
        <v>0.035416666666666666</v>
      </c>
      <c r="AL7" s="19">
        <f>data!P11/data!Q11</f>
        <v>0.15901365443336982</v>
      </c>
      <c r="AM7" s="17">
        <f>data!X11/data!N11</f>
        <v>1.0328407224958949</v>
      </c>
      <c r="AN7" s="17">
        <f>data!AB11/data!AA11</f>
        <v>39.2589641434263</v>
      </c>
      <c r="AO7" s="20" t="e">
        <f>data!AT11/(data!Q11*1000000)/data!#REF!</f>
        <v>#REF!</v>
      </c>
      <c r="AP7" s="20" t="e">
        <f>data!AT11/(data!O11*1000000)/data!#REF!</f>
        <v>#REF!</v>
      </c>
      <c r="AQ7" s="20" t="e">
        <f>data!AU11/(data!Q11*1000000)/data!#REF!</f>
        <v>#REF!</v>
      </c>
      <c r="AR7" s="19">
        <f>data!AU11/data!AT11</f>
        <v>0.4752859648330958</v>
      </c>
      <c r="AS7" s="19">
        <f>data!AV11/data!AT11</f>
        <v>0.31685757855167035</v>
      </c>
      <c r="AT7" s="20" t="e">
        <f>data!AV11/data!#REF!/data!Y11/1000</f>
        <v>#REF!</v>
      </c>
      <c r="AU7" s="17" t="e">
        <f>data!#REF!/data!L11</f>
        <v>#REF!</v>
      </c>
      <c r="AV7" s="17">
        <f>data!F11/(data!L11+data!Z11)</f>
        <v>65.27431421446384</v>
      </c>
      <c r="AW7" s="17" t="e">
        <f>data!#REF!/data!I11</f>
        <v>#REF!</v>
      </c>
      <c r="AX7" s="17">
        <f>data!F11/(data!I11+data!Y11)</f>
        <v>1.9032903108525725</v>
      </c>
      <c r="AY7" s="17" t="e">
        <f>data!#REF!/data!Z11</f>
        <v>#REF!</v>
      </c>
      <c r="AZ7" s="17" t="e">
        <f>data!#REF!/data!Y11</f>
        <v>#REF!</v>
      </c>
      <c r="BA7" s="19" t="e">
        <f>data!#REF!/data!F11</f>
        <v>#REF!</v>
      </c>
      <c r="BB7" s="19" t="e">
        <f>data!#REF!/data!F11</f>
        <v>#REF!</v>
      </c>
      <c r="BC7" s="19">
        <f>data!AX11/data!AT11</f>
        <v>0.3477374281863962</v>
      </c>
      <c r="BD7" s="19">
        <f>data!AY11/data!AT11</f>
        <v>0.1737921451553624</v>
      </c>
      <c r="BE7" s="19">
        <f>data!AZ11/data!AT11</f>
        <v>0</v>
      </c>
      <c r="BF7" s="16" t="e">
        <f>data!#REF!</f>
        <v>#REF!</v>
      </c>
      <c r="BG7" s="19" t="e">
        <f>data!#REF!/data!I11</f>
        <v>#REF!</v>
      </c>
      <c r="BH7" s="19" t="e">
        <f>data!#REF!/data!#REF!</f>
        <v>#REF!</v>
      </c>
      <c r="BI7" s="19" t="e">
        <f>data!#REF!/data!#REF!</f>
        <v>#REF!</v>
      </c>
      <c r="BJ7" s="19" t="e">
        <f>(data!#REF!/(1000*(data!L11+data!Z11)))</f>
        <v>#REF!</v>
      </c>
      <c r="BK7" s="19">
        <f>(data!AF11+data!AG11)/data!AC11</f>
        <v>2</v>
      </c>
      <c r="BL7" s="19">
        <f>data!AF11/data!AC11</f>
        <v>1</v>
      </c>
      <c r="BM7" s="19">
        <f>data!AG11/data!AC11</f>
        <v>1</v>
      </c>
      <c r="BN7" s="20" t="e">
        <f>data!AH11/data!#REF!/(data!Q11*1000000)</f>
        <v>#REF!</v>
      </c>
      <c r="BO7" s="20" t="e">
        <f>data!AH11/data!#REF!/(data!L11*1000)</f>
        <v>#REF!</v>
      </c>
      <c r="BP7" s="49" t="e">
        <f>data!AK11/data!#REF!/(data!Q11*1000000)</f>
        <v>#REF!</v>
      </c>
      <c r="BQ7" s="50">
        <f>data!AK11/data!AH11</f>
        <v>0.6647792454685503</v>
      </c>
      <c r="BR7" s="50">
        <f>data!AL11/data!AH11</f>
        <v>0.3352207545314497</v>
      </c>
      <c r="BS7" s="50">
        <f>data!AM11/data!AK11</f>
        <v>0.46639466515463407</v>
      </c>
      <c r="BT7" s="50">
        <f>data!AN11/data!AK11</f>
        <v>0.43170707655897544</v>
      </c>
      <c r="BU7" s="50">
        <f>data!AO11/data!AK11</f>
        <v>0.10189825828639047</v>
      </c>
      <c r="BV7" s="19">
        <f>data!AP11/data!AK11</f>
        <v>0</v>
      </c>
      <c r="BW7" s="20" t="e">
        <f>data!AL11/data!#REF!/data!Y11/1000</f>
        <v>#REF!</v>
      </c>
      <c r="BX7" s="19" t="e">
        <f>(data!AH11/data!#REF!)/(data!#REF!*data!I11*1000)</f>
        <v>#REF!</v>
      </c>
      <c r="BY7" s="20" t="e">
        <f>data!#REF!/data!#REF!*12</f>
        <v>#REF!</v>
      </c>
      <c r="BZ7" s="20" t="e">
        <f>data!#REF!/data!#REF!*12</f>
        <v>#REF!</v>
      </c>
      <c r="CA7" s="51" t="e">
        <f>(data!#REF!*12)/(data!AH11/(data!L11*1000))</f>
        <v>#REF!</v>
      </c>
      <c r="CB7" s="20" t="e">
        <f>data!#REF!/data!#REF!*12</f>
        <v>#REF!</v>
      </c>
      <c r="CC7" s="20" t="e">
        <f>data!#REF!/data!#REF!*12</f>
        <v>#REF!</v>
      </c>
      <c r="CD7" s="19" t="e">
        <f>((data!#REF!*12)/(data!AK11/(data!L11*1000)))</f>
        <v>#REF!</v>
      </c>
      <c r="CE7" s="19" t="e">
        <f>((data!#REF!*12)/(data!AL11/(data!Z11*1000)))</f>
        <v>#REF!</v>
      </c>
      <c r="CF7" s="21">
        <f>(data!AJ11/data!U11)/(data!AI11/data!R11)</f>
        <v>0.9896913509010882</v>
      </c>
      <c r="CG7" s="17">
        <f>(data!AN11/data!U11)/(data!AM11/data!R11)</f>
        <v>0.9612499431835471</v>
      </c>
      <c r="CH7" s="17">
        <f>(data!AR11/data!AE11)/(data!AQ11/data!AD11)</f>
        <v>0.9994043898489497</v>
      </c>
      <c r="CI7" s="20" t="e">
        <f>data!#REF!/data!#REF!</f>
        <v>#REF!</v>
      </c>
      <c r="CJ7" s="19" t="e">
        <f>data!#REF!/data!#REF!/data!#REF!</f>
        <v>#REF!</v>
      </c>
      <c r="CK7" s="20" t="e">
        <f>data!#REF!/data!#REF!</f>
        <v>#REF!</v>
      </c>
      <c r="CL7" s="19" t="e">
        <f>data!#REF!/data!#REF!/data!#REF!</f>
        <v>#REF!</v>
      </c>
      <c r="CM7" s="18">
        <f>data!BF11/data!AH11*365</f>
        <v>0.08045576715067684</v>
      </c>
      <c r="CN7" s="19">
        <f>data!AS11/data!AH11</f>
        <v>0.8633296732111836</v>
      </c>
      <c r="CO7" s="17">
        <f>data!AH11/data!AT11</f>
        <v>0.9835965155491363</v>
      </c>
      <c r="CP7" s="19" t="e">
        <f>data!BE11/data!AS11</f>
        <v>#VALUE!</v>
      </c>
      <c r="CQ7" s="17" t="e">
        <f>data!BA11/((data!I11+data!Y11)*1000)/data!#REF!</f>
        <v>#REF!</v>
      </c>
      <c r="CR7" s="17" t="e">
        <f>data!BB11/data!I11/data!#REF!/1000</f>
        <v>#REF!</v>
      </c>
      <c r="CS7" s="17" t="e">
        <f>data!BC11/data!Y11/data!#REF!/1000</f>
        <v>#REF!</v>
      </c>
      <c r="CT7" s="20" t="e">
        <f t="shared" si="3"/>
        <v>#REF!</v>
      </c>
      <c r="CU7" s="20" t="e">
        <f t="shared" si="4"/>
        <v>#REF!</v>
      </c>
      <c r="CV7" s="20" t="e">
        <f t="shared" si="5"/>
        <v>#REF!</v>
      </c>
      <c r="CW7" s="20" t="e">
        <f t="shared" si="6"/>
        <v>#REF!</v>
      </c>
      <c r="CX7" s="19" t="e">
        <f t="shared" si="7"/>
        <v>#REF!</v>
      </c>
      <c r="CY7" s="20" t="e">
        <f t="shared" si="8"/>
        <v>#REF!</v>
      </c>
      <c r="CZ7" s="20" t="e">
        <f t="shared" si="9"/>
        <v>#REF!</v>
      </c>
      <c r="DA7" s="20" t="e">
        <f t="shared" si="10"/>
        <v>#REF!</v>
      </c>
      <c r="DB7" s="20" t="e">
        <f t="shared" si="11"/>
        <v>#REF!</v>
      </c>
      <c r="DC7" s="20" t="e">
        <f t="shared" si="12"/>
        <v>#REF!</v>
      </c>
      <c r="DD7" s="19" t="e">
        <f t="shared" si="13"/>
        <v>#REF!</v>
      </c>
      <c r="DE7" s="20" t="e">
        <f t="shared" si="14"/>
        <v>#REF!</v>
      </c>
      <c r="DF7" s="19" t="e">
        <f t="shared" si="15"/>
        <v>#REF!</v>
      </c>
      <c r="DG7" s="20" t="e">
        <f>data!#REF!</f>
        <v>#REF!</v>
      </c>
      <c r="DH7" s="15" t="e">
        <f>data!#REF!</f>
        <v>#REF!</v>
      </c>
      <c r="DI7" s="10" t="e">
        <f>data!#REF!</f>
        <v>#REF!</v>
      </c>
      <c r="DJ7" s="15" t="e">
        <f>data!#REF!</f>
        <v>#REF!</v>
      </c>
      <c r="DK7" s="15" t="e">
        <f>data!#REF!</f>
        <v>#REF!</v>
      </c>
      <c r="DL7" s="15" t="e">
        <f>data!#REF!</f>
        <v>#REF!</v>
      </c>
      <c r="DM7" s="15" t="e">
        <f>data!#REF!</f>
        <v>#REF!</v>
      </c>
      <c r="DN7" s="15" t="e">
        <f>data!#REF!</f>
        <v>#REF!</v>
      </c>
      <c r="DO7" s="15" t="e">
        <f>data!#REF!</f>
        <v>#REF!</v>
      </c>
      <c r="DP7" s="15" t="e">
        <f>data!#REF!</f>
        <v>#REF!</v>
      </c>
      <c r="DQ7" s="15" t="e">
        <f>data!#REF!</f>
        <v>#REF!</v>
      </c>
      <c r="DR7" s="15" t="e">
        <f>data!#REF!</f>
        <v>#REF!</v>
      </c>
      <c r="DS7" s="15" t="e">
        <f>data!#REF!</f>
        <v>#REF!</v>
      </c>
      <c r="DT7" s="15" t="e">
        <f>data!#REF!</f>
        <v>#REF!</v>
      </c>
      <c r="DU7" s="15" t="e">
        <f>data!#REF!</f>
        <v>#REF!</v>
      </c>
      <c r="DV7" s="15" t="e">
        <f>data!#REF!</f>
        <v>#REF!</v>
      </c>
      <c r="DW7" s="15" t="e">
        <f>data!#REF!</f>
        <v>#REF!</v>
      </c>
      <c r="DX7" s="15" t="e">
        <f>data!#REF!</f>
        <v>#REF!</v>
      </c>
      <c r="DY7" s="15" t="e">
        <f>data!#REF!</f>
        <v>#REF!</v>
      </c>
      <c r="DZ7" s="15" t="e">
        <f>data!#REF!</f>
        <v>#REF!</v>
      </c>
      <c r="EA7" s="15" t="e">
        <f>data!#REF!</f>
        <v>#REF!</v>
      </c>
    </row>
    <row r="8" spans="1:131" s="10" customFormat="1" ht="12.75">
      <c r="A8" s="10" t="e">
        <f>data!#REF!</f>
        <v>#REF!</v>
      </c>
      <c r="B8" s="10">
        <f>data!C12</f>
        <v>0</v>
      </c>
      <c r="C8" s="10" t="e">
        <f>data!#REF!</f>
        <v>#REF!</v>
      </c>
      <c r="D8" s="10">
        <f>data!A12</f>
        <v>2005</v>
      </c>
      <c r="E8" s="79"/>
      <c r="F8" s="79"/>
      <c r="G8" s="79"/>
      <c r="H8" s="79"/>
      <c r="I8" s="10">
        <f>data!G12</f>
        <v>0</v>
      </c>
      <c r="J8" s="15">
        <f>data!H12</f>
        <v>0</v>
      </c>
      <c r="K8" s="10" t="e">
        <f>data!#REF!</f>
        <v>#REF!</v>
      </c>
      <c r="L8" s="16">
        <f>data!E12</f>
        <v>0</v>
      </c>
      <c r="M8" s="16" t="e">
        <f>data!#REF!</f>
        <v>#REF!</v>
      </c>
      <c r="N8" s="17">
        <f>data!L12/data!N12*1000</f>
        <v>14.491803278688524</v>
      </c>
      <c r="O8" s="17">
        <f>data!Z12/data!AA12*1000</f>
        <v>30</v>
      </c>
      <c r="P8" s="15">
        <f>data!I12/data!L12</f>
        <v>33.540723981900456</v>
      </c>
      <c r="Q8" s="17">
        <f>data!Y12/data!Z12</f>
        <v>37.299077733860344</v>
      </c>
      <c r="R8" s="18" t="e">
        <f>data!#REF!</f>
        <v>#REF!</v>
      </c>
      <c r="S8" s="19">
        <f>data!I12/data!D12</f>
        <v>0.5601738144719441</v>
      </c>
      <c r="T8" s="19">
        <f>data!J12/data!D12</f>
        <v>0.4804458719062914</v>
      </c>
      <c r="U8" s="19">
        <f>data!K12/data!D12</f>
        <v>0.09370867183071983</v>
      </c>
      <c r="V8" s="19">
        <f>data!Y12/data!D12</f>
        <v>0.5348573587757416</v>
      </c>
      <c r="W8" s="17">
        <f>(data!O12/data!I12/365)*1000000</f>
        <v>568.1443322784079</v>
      </c>
      <c r="X8" s="17">
        <f>(data!O12/data!L12/12)*1000</f>
        <v>579.6191553544495</v>
      </c>
      <c r="Y8" s="17">
        <f>(data!Q12/data!I12/365)*1000000</f>
        <v>353.31839497331885</v>
      </c>
      <c r="Z8" s="17">
        <f>(data!Q12/data!L12/12)*1000</f>
        <v>360.45437405731525</v>
      </c>
      <c r="AA8" s="19">
        <f>data!R12/data!Q12</f>
        <v>0.45061066506263564</v>
      </c>
      <c r="AB8" s="19">
        <f>data!U12/data!Q12</f>
        <v>0.4683944870151947</v>
      </c>
      <c r="AC8" s="19">
        <f>data!V12/data!Q12</f>
        <v>0.08107330596019562</v>
      </c>
      <c r="AD8" s="19">
        <f>data!W12/data!Q12</f>
        <v>0</v>
      </c>
      <c r="AE8" s="18">
        <f>(data!R12/data!I12/365)*1000000</f>
        <v>159.2090369377902</v>
      </c>
      <c r="AF8" s="18">
        <f>(data!S12/data!J12/365)*1000000</f>
        <v>177.54889866892194</v>
      </c>
      <c r="AG8" s="17">
        <f>(data!T12/data!K12/365)*1000000</f>
        <v>41.42730888201502</v>
      </c>
      <c r="AH8" s="19">
        <f>((data!O12-data!Q12)/data!O12)</f>
        <v>0.3781185961031779</v>
      </c>
      <c r="AI8" s="17">
        <f>((data!O12-data!Q12)/data!N12/365)*1000000</f>
        <v>104.41949247698177</v>
      </c>
      <c r="AJ8" s="17">
        <f>((data!O12-data!Q12)/data!L12/365)*1000</f>
        <v>7.205417467303042</v>
      </c>
      <c r="AK8" s="19">
        <f>data!M12/data!L12</f>
        <v>0.04762443438914027</v>
      </c>
      <c r="AL8" s="19">
        <f>data!P12/data!Q12</f>
        <v>0.1681617281690509</v>
      </c>
      <c r="AM8" s="17">
        <f>data!X12/data!N12</f>
        <v>1.2524590163934426</v>
      </c>
      <c r="AN8" s="17">
        <f>data!AB12/data!AA12</f>
        <v>53.77075098814229</v>
      </c>
      <c r="AO8" s="20" t="e">
        <f>data!AT12/(data!Q12*1000000)/data!#REF!</f>
        <v>#REF!</v>
      </c>
      <c r="AP8" s="20" t="e">
        <f>data!AT12/(data!O12*1000000)/data!#REF!</f>
        <v>#REF!</v>
      </c>
      <c r="AQ8" s="20" t="e">
        <f>data!AU12/(data!Q12*1000000)/data!#REF!</f>
        <v>#REF!</v>
      </c>
      <c r="AR8" s="19">
        <f>data!AU12/data!AT12</f>
        <v>0.5028475711892797</v>
      </c>
      <c r="AS8" s="19">
        <f>data!AV12/data!AT12</f>
        <v>0.3352322182772402</v>
      </c>
      <c r="AT8" s="20" t="e">
        <f>data!AV12/data!#REF!/data!Y12/1000</f>
        <v>#REF!</v>
      </c>
      <c r="AU8" s="17" t="e">
        <f>data!#REF!/data!L12</f>
        <v>#REF!</v>
      </c>
      <c r="AV8" s="17">
        <f>data!F12/(data!L12+data!Z12)</f>
        <v>65.18563603164942</v>
      </c>
      <c r="AW8" s="17" t="e">
        <f>data!#REF!/data!I12</f>
        <v>#REF!</v>
      </c>
      <c r="AX8" s="17">
        <f>data!F12/(data!I12+data!Y12)</f>
        <v>1.8478260869565217</v>
      </c>
      <c r="AY8" s="17" t="e">
        <f>data!#REF!/data!Z12</f>
        <v>#REF!</v>
      </c>
      <c r="AZ8" s="17" t="e">
        <f>data!#REF!/data!Y12</f>
        <v>#REF!</v>
      </c>
      <c r="BA8" s="19" t="e">
        <f>data!#REF!/data!F12</f>
        <v>#REF!</v>
      </c>
      <c r="BB8" s="19" t="e">
        <f>data!#REF!/data!F12</f>
        <v>#REF!</v>
      </c>
      <c r="BC8" s="19">
        <f>data!AX12/data!AT12</f>
        <v>0.36675930442279114</v>
      </c>
      <c r="BD8" s="19">
        <f>data!AY12/data!AT12</f>
        <v>0.15946020546676196</v>
      </c>
      <c r="BE8" s="19">
        <f>data!AZ12/data!AT12</f>
        <v>0</v>
      </c>
      <c r="BF8" s="16" t="e">
        <f>data!#REF!</f>
        <v>#REF!</v>
      </c>
      <c r="BG8" s="19" t="e">
        <f>data!#REF!/data!I12</f>
        <v>#REF!</v>
      </c>
      <c r="BH8" s="19" t="e">
        <f>data!#REF!/data!#REF!</f>
        <v>#REF!</v>
      </c>
      <c r="BI8" s="19" t="e">
        <f>data!#REF!/data!#REF!</f>
        <v>#REF!</v>
      </c>
      <c r="BJ8" s="19" t="e">
        <f>(data!#REF!/(1000*(data!L12+data!Z12)))</f>
        <v>#REF!</v>
      </c>
      <c r="BK8" s="19">
        <f>(data!AF12+data!AG12)/data!AC12</f>
        <v>2</v>
      </c>
      <c r="BL8" s="19">
        <f>data!AF12/data!AC12</f>
        <v>1</v>
      </c>
      <c r="BM8" s="19">
        <f>data!AG12/data!AC12</f>
        <v>1</v>
      </c>
      <c r="BN8" s="20" t="e">
        <f>data!AH12/data!#REF!/(data!Q12*1000000)</f>
        <v>#REF!</v>
      </c>
      <c r="BO8" s="20" t="e">
        <f>data!AH12/data!#REF!/(data!L12*1000)</f>
        <v>#REF!</v>
      </c>
      <c r="BP8" s="49" t="e">
        <f>data!AK12/data!#REF!/(data!Q12*1000000)</f>
        <v>#REF!</v>
      </c>
      <c r="BQ8" s="50">
        <f>data!AK12/data!AH12</f>
        <v>0.6405450405035351</v>
      </c>
      <c r="BR8" s="50">
        <f>data!AL12/data!AH12</f>
        <v>0.3594549594964649</v>
      </c>
      <c r="BS8" s="50">
        <f>data!AM12/data!AK12</f>
        <v>0.4954822099993421</v>
      </c>
      <c r="BT8" s="50">
        <f>data!AN12/data!AK12</f>
        <v>0.3973408408464324</v>
      </c>
      <c r="BU8" s="50">
        <f>data!AO12/data!AK12</f>
        <v>0.10717694915422551</v>
      </c>
      <c r="BV8" s="19">
        <f>data!AP12/data!AK12</f>
        <v>0</v>
      </c>
      <c r="BW8" s="20" t="e">
        <f>data!AL12/data!#REF!/data!Y12/1000</f>
        <v>#REF!</v>
      </c>
      <c r="BX8" s="19" t="e">
        <f>(data!AH12/data!#REF!)/(data!#REF!*data!I12*1000)</f>
        <v>#REF!</v>
      </c>
      <c r="BY8" s="20" t="e">
        <f>data!#REF!/data!#REF!*12</f>
        <v>#REF!</v>
      </c>
      <c r="BZ8" s="20" t="e">
        <f>data!#REF!/data!#REF!*12</f>
        <v>#REF!</v>
      </c>
      <c r="CA8" s="51" t="e">
        <f>(data!#REF!*12)/(data!AH12/(data!L12*1000))</f>
        <v>#REF!</v>
      </c>
      <c r="CB8" s="20" t="e">
        <f>data!#REF!/data!#REF!*12</f>
        <v>#REF!</v>
      </c>
      <c r="CC8" s="20" t="e">
        <f>data!#REF!/data!#REF!*12</f>
        <v>#REF!</v>
      </c>
      <c r="CD8" s="19" t="e">
        <f>((data!#REF!*12)/(data!AK12/(data!L12*1000)))</f>
        <v>#REF!</v>
      </c>
      <c r="CE8" s="19" t="e">
        <f>((data!#REF!*12)/(data!AL12/(data!Z12*1000)))</f>
        <v>#REF!</v>
      </c>
      <c r="CF8" s="21">
        <f>(data!AJ12/data!U12)/(data!AI12/data!R12)</f>
        <v>0.866476998564952</v>
      </c>
      <c r="CG8" s="17">
        <f>(data!AN12/data!U12)/(data!AM12/data!R12)</f>
        <v>0.7714802847056005</v>
      </c>
      <c r="CH8" s="17">
        <f>(data!AR12/data!AE12)/(data!AQ12/data!AD12)</f>
        <v>0.9925814617128681</v>
      </c>
      <c r="CI8" s="20" t="e">
        <f>data!#REF!/data!#REF!</f>
        <v>#REF!</v>
      </c>
      <c r="CJ8" s="19" t="e">
        <f>data!#REF!/data!#REF!/data!#REF!</f>
        <v>#REF!</v>
      </c>
      <c r="CK8" s="20" t="e">
        <f>data!#REF!/data!#REF!</f>
        <v>#REF!</v>
      </c>
      <c r="CL8" s="19" t="e">
        <f>data!#REF!/data!#REF!/data!#REF!</f>
        <v>#REF!</v>
      </c>
      <c r="CM8" s="18">
        <f>data!BF12/data!AH12*365</f>
        <v>0.06675052557590715</v>
      </c>
      <c r="CN8" s="19">
        <f>data!AS12/data!AH12</f>
        <v>0.9749329711815837</v>
      </c>
      <c r="CO8" s="17">
        <f>data!AH12/data!AT12</f>
        <v>0.951081971180205</v>
      </c>
      <c r="CP8" s="19" t="e">
        <f>data!BE12/data!AS12</f>
        <v>#VALUE!</v>
      </c>
      <c r="CQ8" s="17" t="e">
        <f>data!BA12/((data!I12+data!Y12)*1000)/data!#REF!</f>
        <v>#REF!</v>
      </c>
      <c r="CR8" s="17" t="e">
        <f>data!BB12/data!I12/data!#REF!/1000</f>
        <v>#REF!</v>
      </c>
      <c r="CS8" s="17" t="e">
        <f>data!BC12/data!Y12/data!#REF!/1000</f>
        <v>#REF!</v>
      </c>
      <c r="CT8" s="20" t="e">
        <f t="shared" si="3"/>
        <v>#REF!</v>
      </c>
      <c r="CU8" s="20" t="e">
        <f t="shared" si="4"/>
        <v>#REF!</v>
      </c>
      <c r="CV8" s="20" t="e">
        <f t="shared" si="5"/>
        <v>#REF!</v>
      </c>
      <c r="CW8" s="20" t="e">
        <f t="shared" si="6"/>
        <v>#REF!</v>
      </c>
      <c r="CX8" s="19" t="e">
        <f t="shared" si="7"/>
        <v>#REF!</v>
      </c>
      <c r="CY8" s="20" t="e">
        <f t="shared" si="8"/>
        <v>#REF!</v>
      </c>
      <c r="CZ8" s="20" t="e">
        <f t="shared" si="9"/>
        <v>#REF!</v>
      </c>
      <c r="DA8" s="20" t="e">
        <f t="shared" si="10"/>
        <v>#REF!</v>
      </c>
      <c r="DB8" s="20" t="e">
        <f t="shared" si="11"/>
        <v>#REF!</v>
      </c>
      <c r="DC8" s="20" t="e">
        <f t="shared" si="12"/>
        <v>#REF!</v>
      </c>
      <c r="DD8" s="19" t="e">
        <f t="shared" si="13"/>
        <v>#REF!</v>
      </c>
      <c r="DE8" s="20" t="e">
        <f t="shared" si="14"/>
        <v>#REF!</v>
      </c>
      <c r="DF8" s="19" t="e">
        <f t="shared" si="15"/>
        <v>#REF!</v>
      </c>
      <c r="DG8" s="20" t="e">
        <f>data!#REF!</f>
        <v>#REF!</v>
      </c>
      <c r="DH8" s="15" t="e">
        <f>data!#REF!</f>
        <v>#REF!</v>
      </c>
      <c r="DI8" s="10" t="e">
        <f>data!#REF!</f>
        <v>#REF!</v>
      </c>
      <c r="DJ8" s="15" t="e">
        <f>data!#REF!</f>
        <v>#REF!</v>
      </c>
      <c r="DK8" s="15" t="e">
        <f>data!#REF!</f>
        <v>#REF!</v>
      </c>
      <c r="DL8" s="15" t="e">
        <f>data!#REF!</f>
        <v>#REF!</v>
      </c>
      <c r="DM8" s="15" t="e">
        <f>data!#REF!</f>
        <v>#REF!</v>
      </c>
      <c r="DN8" s="15" t="e">
        <f>data!#REF!</f>
        <v>#REF!</v>
      </c>
      <c r="DO8" s="15" t="e">
        <f>data!#REF!</f>
        <v>#REF!</v>
      </c>
      <c r="DP8" s="15" t="e">
        <f>data!#REF!</f>
        <v>#REF!</v>
      </c>
      <c r="DQ8" s="15" t="e">
        <f>data!#REF!</f>
        <v>#REF!</v>
      </c>
      <c r="DR8" s="15" t="e">
        <f>data!#REF!</f>
        <v>#REF!</v>
      </c>
      <c r="DS8" s="15" t="e">
        <f>data!#REF!</f>
        <v>#REF!</v>
      </c>
      <c r="DT8" s="15" t="e">
        <f>data!#REF!</f>
        <v>#REF!</v>
      </c>
      <c r="DU8" s="15" t="e">
        <f>data!#REF!</f>
        <v>#REF!</v>
      </c>
      <c r="DV8" s="15" t="e">
        <f>data!#REF!</f>
        <v>#REF!</v>
      </c>
      <c r="DW8" s="15" t="e">
        <f>data!#REF!</f>
        <v>#REF!</v>
      </c>
      <c r="DX8" s="15" t="e">
        <f>data!#REF!</f>
        <v>#REF!</v>
      </c>
      <c r="DY8" s="15" t="e">
        <f>data!#REF!</f>
        <v>#REF!</v>
      </c>
      <c r="DZ8" s="15" t="e">
        <f>data!#REF!</f>
        <v>#REF!</v>
      </c>
      <c r="EA8" s="15" t="e">
        <f>data!#REF!</f>
        <v>#REF!</v>
      </c>
    </row>
    <row r="9" spans="1:131" s="10" customFormat="1" ht="12.75">
      <c r="A9" s="10" t="e">
        <f>data!#REF!</f>
        <v>#REF!</v>
      </c>
      <c r="B9" s="10">
        <f>data!C13</f>
        <v>0</v>
      </c>
      <c r="C9" s="10" t="e">
        <f>data!#REF!</f>
        <v>#REF!</v>
      </c>
      <c r="D9" s="10">
        <f>data!A13</f>
        <v>2006</v>
      </c>
      <c r="E9" s="79"/>
      <c r="F9" s="79"/>
      <c r="G9" s="79"/>
      <c r="H9" s="79"/>
      <c r="I9" s="10">
        <f>data!G13</f>
        <v>0</v>
      </c>
      <c r="J9" s="15">
        <f>data!H13</f>
        <v>0</v>
      </c>
      <c r="K9" s="10" t="e">
        <f>data!#REF!</f>
        <v>#REF!</v>
      </c>
      <c r="L9" s="16">
        <f>data!E13</f>
        <v>0</v>
      </c>
      <c r="M9" s="16" t="e">
        <f>data!#REF!</f>
        <v>#REF!</v>
      </c>
      <c r="N9" s="17">
        <f>data!L13/data!N13*1000</f>
        <v>14.771241830065359</v>
      </c>
      <c r="O9" s="17">
        <f>data!Z13/data!AA13*1000</f>
        <v>30.35294117647059</v>
      </c>
      <c r="P9" s="15">
        <f>data!I13/data!L13</f>
        <v>35.154867256637175</v>
      </c>
      <c r="Q9" s="17">
        <f>data!Y13/data!Z13</f>
        <v>38.940568475452196</v>
      </c>
      <c r="R9" s="18" t="e">
        <f>data!#REF!</f>
        <v>#REF!</v>
      </c>
      <c r="S9" s="19">
        <f>data!I13/data!D13</f>
        <v>0.5773982558139535</v>
      </c>
      <c r="T9" s="19">
        <f>data!J13/data!D13</f>
        <v>0.5176235465116279</v>
      </c>
      <c r="U9" s="19">
        <f>data!K13/data!D13</f>
        <v>0.09665697674418605</v>
      </c>
      <c r="V9" s="19">
        <f>data!Y13/data!D13</f>
        <v>0.5476017441860465</v>
      </c>
      <c r="W9" s="17">
        <f>(data!O13/data!I13/365)*1000000</f>
        <v>550.384923748028</v>
      </c>
      <c r="X9" s="17">
        <f>(data!O13/data!L13/12)*1000</f>
        <v>588.5232300884956</v>
      </c>
      <c r="Y9" s="17">
        <f>(data!Q13/data!I13/365)*1000000</f>
        <v>359.5610231299085</v>
      </c>
      <c r="Z9" s="17">
        <f>(data!Q13/data!L13/12)*1000</f>
        <v>384.47640117994104</v>
      </c>
      <c r="AA9" s="19">
        <f>data!R13/data!Q13</f>
        <v>0.4426009398676513</v>
      </c>
      <c r="AB9" s="19">
        <f>data!U13/data!Q13</f>
        <v>0.4862376522489691</v>
      </c>
      <c r="AC9" s="19">
        <f>data!V13/data!Q13</f>
        <v>0.07120936031456795</v>
      </c>
      <c r="AD9" s="19">
        <f>data!W13/data!Q13</f>
        <v>0</v>
      </c>
      <c r="AE9" s="18">
        <f>(data!R13/data!I13/365)*1000000</f>
        <v>159.14204677707184</v>
      </c>
      <c r="AF9" s="18">
        <f>(data!S13/data!J13/365)*1000000</f>
        <v>169.53797775715586</v>
      </c>
      <c r="AG9" s="17">
        <f>(data!T13/data!K13/365)*1000000</f>
        <v>42.74384591616026</v>
      </c>
      <c r="AH9" s="19">
        <f>((data!O13-data!Q13)/data!O13)</f>
        <v>0.3467098977178391</v>
      </c>
      <c r="AI9" s="17">
        <f>((data!O13-data!Q13)/data!N13/365)*1000000</f>
        <v>99.09123466738296</v>
      </c>
      <c r="AJ9" s="17">
        <f>((data!O13-data!Q13)/data!L13/365)*1000</f>
        <v>6.708388895623714</v>
      </c>
      <c r="AK9" s="19">
        <f>data!M13/data!L13</f>
        <v>0.05309734513274337</v>
      </c>
      <c r="AL9" s="19">
        <f>data!P13/data!Q13</f>
        <v>0.16327802819602955</v>
      </c>
      <c r="AM9" s="17">
        <f>data!X13/data!N13</f>
        <v>1.2679738562091503</v>
      </c>
      <c r="AN9" s="17">
        <f>data!AB13/data!AA13</f>
        <v>65.58039215686274</v>
      </c>
      <c r="AO9" s="20" t="e">
        <f>data!AT13/(data!Q13*1000000)/data!#REF!</f>
        <v>#REF!</v>
      </c>
      <c r="AP9" s="20" t="e">
        <f>data!AT13/(data!O13*1000000)/data!#REF!</f>
        <v>#REF!</v>
      </c>
      <c r="AQ9" s="20" t="e">
        <f>data!AU13/(data!Q13*1000000)/data!#REF!</f>
        <v>#REF!</v>
      </c>
      <c r="AR9" s="19">
        <f>data!AU13/data!AT13</f>
        <v>0.5258920446670162</v>
      </c>
      <c r="AS9" s="19">
        <f>data!AV13/data!AT13</f>
        <v>0.35059469644467744</v>
      </c>
      <c r="AT9" s="20" t="e">
        <f>data!AV13/data!#REF!/data!Y13/1000</f>
        <v>#REF!</v>
      </c>
      <c r="AU9" s="17" t="e">
        <f>data!#REF!/data!L13</f>
        <v>#REF!</v>
      </c>
      <c r="AV9" s="17">
        <f>data!F13/(data!L13+data!Z13)</f>
        <v>67.87842669845053</v>
      </c>
      <c r="AW9" s="17" t="e">
        <f>data!#REF!/data!I13</f>
        <v>#REF!</v>
      </c>
      <c r="AX9" s="17">
        <f>data!F13/(data!I13+data!Y13)</f>
        <v>1.839470284237726</v>
      </c>
      <c r="AY9" s="17" t="e">
        <f>data!#REF!/data!Z13</f>
        <v>#REF!</v>
      </c>
      <c r="AZ9" s="17" t="e">
        <f>data!#REF!/data!Y13</f>
        <v>#REF!</v>
      </c>
      <c r="BA9" s="19" t="e">
        <f>data!#REF!/data!F13</f>
        <v>#REF!</v>
      </c>
      <c r="BB9" s="19" t="e">
        <f>data!#REF!/data!F13</f>
        <v>#REF!</v>
      </c>
      <c r="BC9" s="19">
        <f>data!AX13/data!AT13</f>
        <v>0.4036818081075308</v>
      </c>
      <c r="BD9" s="19">
        <f>data!AY13/data!AT13</f>
        <v>0.15053858479454632</v>
      </c>
      <c r="BE9" s="19">
        <f>data!AZ13/data!AT13</f>
        <v>0</v>
      </c>
      <c r="BF9" s="16" t="e">
        <f>data!#REF!</f>
        <v>#REF!</v>
      </c>
      <c r="BG9" s="19" t="e">
        <f>data!#REF!/data!I13</f>
        <v>#REF!</v>
      </c>
      <c r="BH9" s="19" t="e">
        <f>data!#REF!/data!#REF!</f>
        <v>#REF!</v>
      </c>
      <c r="BI9" s="19" t="e">
        <f>data!#REF!/data!#REF!</f>
        <v>#REF!</v>
      </c>
      <c r="BJ9" s="19" t="e">
        <f>(data!#REF!/(1000*(data!L13+data!Z13)))</f>
        <v>#REF!</v>
      </c>
      <c r="BK9" s="19">
        <f>(data!AF13+data!AG13)/data!AC13</f>
        <v>2</v>
      </c>
      <c r="BL9" s="19">
        <f>data!AF13/data!AC13</f>
        <v>1</v>
      </c>
      <c r="BM9" s="19">
        <f>data!AG13/data!AC13</f>
        <v>1</v>
      </c>
      <c r="BN9" s="20" t="e">
        <f>data!AH13/data!#REF!/(data!Q13*1000000)</f>
        <v>#REF!</v>
      </c>
      <c r="BO9" s="20" t="e">
        <f>data!AH13/data!#REF!/(data!L13*1000)</f>
        <v>#REF!</v>
      </c>
      <c r="BP9" s="49" t="e">
        <f>data!AK13/data!#REF!/(data!Q13*1000000)</f>
        <v>#REF!</v>
      </c>
      <c r="BQ9" s="50">
        <f>data!AK13/data!AH13</f>
        <v>0.6336027459775936</v>
      </c>
      <c r="BR9" s="50">
        <f>data!AL13/data!AH13</f>
        <v>0.36639725402240636</v>
      </c>
      <c r="BS9" s="50">
        <f>data!AM13/data!AK13</f>
        <v>0.4918876424479919</v>
      </c>
      <c r="BT9" s="50">
        <f>data!AN13/data!AK13</f>
        <v>0.42664950904233884</v>
      </c>
      <c r="BU9" s="50">
        <f>data!AO13/data!AK13</f>
        <v>0.08146284850966928</v>
      </c>
      <c r="BV9" s="19">
        <f>data!AP13/data!AK13</f>
        <v>0</v>
      </c>
      <c r="BW9" s="20" t="e">
        <f>data!AL13/data!#REF!/data!Y13/1000</f>
        <v>#REF!</v>
      </c>
      <c r="BX9" s="19" t="e">
        <f>(data!AH13/data!#REF!)/(data!#REF!*data!I13*1000)</f>
        <v>#REF!</v>
      </c>
      <c r="BY9" s="20" t="e">
        <f>data!#REF!/data!#REF!*12</f>
        <v>#REF!</v>
      </c>
      <c r="BZ9" s="20" t="e">
        <f>data!#REF!/data!#REF!*12</f>
        <v>#REF!</v>
      </c>
      <c r="CA9" s="51" t="e">
        <f>(data!#REF!*12)/(data!AH13/(data!L13*1000))</f>
        <v>#REF!</v>
      </c>
      <c r="CB9" s="20" t="e">
        <f>data!#REF!/data!#REF!*12</f>
        <v>#REF!</v>
      </c>
      <c r="CC9" s="20" t="e">
        <f>data!#REF!/data!#REF!*12</f>
        <v>#REF!</v>
      </c>
      <c r="CD9" s="19" t="e">
        <f>((data!#REF!*12)/(data!AK13/(data!L13*1000)))</f>
        <v>#REF!</v>
      </c>
      <c r="CE9" s="19" t="e">
        <f>((data!#REF!*12)/(data!AL13/(data!Z13*1000)))</f>
        <v>#REF!</v>
      </c>
      <c r="CF9" s="21">
        <f>(data!AJ13/data!U13)/(data!AI13/data!R13)</f>
        <v>0.8607166517244493</v>
      </c>
      <c r="CG9" s="17">
        <f>(data!AN13/data!U13)/(data!AM13/data!R13)</f>
        <v>0.7895308135934747</v>
      </c>
      <c r="CH9" s="17">
        <f>(data!AR13/data!AE13)/(data!AQ13/data!AD13)</f>
        <v>1.0055557847829673</v>
      </c>
      <c r="CI9" s="20" t="e">
        <f>data!#REF!/data!#REF!</f>
        <v>#REF!</v>
      </c>
      <c r="CJ9" s="19" t="e">
        <f>data!#REF!/data!#REF!/data!#REF!</f>
        <v>#REF!</v>
      </c>
      <c r="CK9" s="20" t="e">
        <f>data!#REF!/data!#REF!</f>
        <v>#REF!</v>
      </c>
      <c r="CL9" s="19" t="e">
        <f>data!#REF!/data!#REF!/data!#REF!</f>
        <v>#REF!</v>
      </c>
      <c r="CM9" s="18">
        <f>data!BF13/data!AH13*365</f>
        <v>0.05522808477245786</v>
      </c>
      <c r="CN9" s="19">
        <f>data!AS13/data!AH13</f>
        <v>0.8872293119472844</v>
      </c>
      <c r="CO9" s="17">
        <f>data!AH13/data!AT13</f>
        <v>0.9625009457960121</v>
      </c>
      <c r="CP9" s="19" t="e">
        <f>data!BE13/data!AS13</f>
        <v>#VALUE!</v>
      </c>
      <c r="CQ9" s="17" t="e">
        <f>data!BA13/((data!I13+data!Y13)*1000)/data!#REF!</f>
        <v>#REF!</v>
      </c>
      <c r="CR9" s="17" t="e">
        <f>data!BB13/data!I13/data!#REF!/1000</f>
        <v>#REF!</v>
      </c>
      <c r="CS9" s="17" t="e">
        <f>data!BC13/data!Y13/data!#REF!/1000</f>
        <v>#REF!</v>
      </c>
      <c r="CT9" s="20" t="e">
        <f t="shared" si="3"/>
        <v>#REF!</v>
      </c>
      <c r="CU9" s="20" t="e">
        <f t="shared" si="4"/>
        <v>#REF!</v>
      </c>
      <c r="CV9" s="20" t="e">
        <f t="shared" si="5"/>
        <v>#REF!</v>
      </c>
      <c r="CW9" s="20" t="e">
        <f t="shared" si="6"/>
        <v>#REF!</v>
      </c>
      <c r="CX9" s="19" t="e">
        <f t="shared" si="7"/>
        <v>#REF!</v>
      </c>
      <c r="CY9" s="20" t="e">
        <f t="shared" si="8"/>
        <v>#REF!</v>
      </c>
      <c r="CZ9" s="20" t="e">
        <f t="shared" si="9"/>
        <v>#REF!</v>
      </c>
      <c r="DA9" s="20" t="e">
        <f t="shared" si="10"/>
        <v>#REF!</v>
      </c>
      <c r="DB9" s="20" t="e">
        <f t="shared" si="11"/>
        <v>#REF!</v>
      </c>
      <c r="DC9" s="20" t="e">
        <f t="shared" si="12"/>
        <v>#REF!</v>
      </c>
      <c r="DD9" s="19" t="e">
        <f t="shared" si="13"/>
        <v>#REF!</v>
      </c>
      <c r="DE9" s="20" t="e">
        <f t="shared" si="14"/>
        <v>#REF!</v>
      </c>
      <c r="DF9" s="19" t="e">
        <f t="shared" si="15"/>
        <v>#REF!</v>
      </c>
      <c r="DG9" s="20" t="e">
        <f>data!#REF!</f>
        <v>#REF!</v>
      </c>
      <c r="DH9" s="15" t="e">
        <f>data!#REF!</f>
        <v>#REF!</v>
      </c>
      <c r="DI9" s="10" t="e">
        <f>data!#REF!</f>
        <v>#REF!</v>
      </c>
      <c r="DJ9" s="15" t="e">
        <f>data!#REF!</f>
        <v>#REF!</v>
      </c>
      <c r="DK9" s="15" t="e">
        <f>data!#REF!</f>
        <v>#REF!</v>
      </c>
      <c r="DL9" s="15" t="e">
        <f>data!#REF!</f>
        <v>#REF!</v>
      </c>
      <c r="DM9" s="15" t="e">
        <f>data!#REF!</f>
        <v>#REF!</v>
      </c>
      <c r="DN9" s="15" t="e">
        <f>data!#REF!</f>
        <v>#REF!</v>
      </c>
      <c r="DO9" s="15" t="e">
        <f>data!#REF!</f>
        <v>#REF!</v>
      </c>
      <c r="DP9" s="15" t="e">
        <f>data!#REF!</f>
        <v>#REF!</v>
      </c>
      <c r="DQ9" s="15" t="e">
        <f>data!#REF!</f>
        <v>#REF!</v>
      </c>
      <c r="DR9" s="15" t="e">
        <f>data!#REF!</f>
        <v>#REF!</v>
      </c>
      <c r="DS9" s="15" t="e">
        <f>data!#REF!</f>
        <v>#REF!</v>
      </c>
      <c r="DT9" s="15" t="e">
        <f>data!#REF!</f>
        <v>#REF!</v>
      </c>
      <c r="DU9" s="15" t="e">
        <f>data!#REF!</f>
        <v>#REF!</v>
      </c>
      <c r="DV9" s="15" t="e">
        <f>data!#REF!</f>
        <v>#REF!</v>
      </c>
      <c r="DW9" s="15" t="e">
        <f>data!#REF!</f>
        <v>#REF!</v>
      </c>
      <c r="DX9" s="15" t="e">
        <f>data!#REF!</f>
        <v>#REF!</v>
      </c>
      <c r="DY9" s="15" t="e">
        <f>data!#REF!</f>
        <v>#REF!</v>
      </c>
      <c r="DZ9" s="15" t="e">
        <f>data!#REF!</f>
        <v>#REF!</v>
      </c>
      <c r="EA9" s="15" t="e">
        <f>data!#REF!</f>
        <v>#REF!</v>
      </c>
    </row>
    <row r="10" spans="1:131" s="10" customFormat="1" ht="12.75">
      <c r="A10" s="10" t="e">
        <f>data!#REF!</f>
        <v>#REF!</v>
      </c>
      <c r="B10" s="10">
        <f>data!C14</f>
        <v>0</v>
      </c>
      <c r="C10" s="10" t="e">
        <f>data!#REF!</f>
        <v>#REF!</v>
      </c>
      <c r="D10" s="10">
        <f>data!A14</f>
        <v>2007</v>
      </c>
      <c r="E10" s="79"/>
      <c r="F10" s="79"/>
      <c r="G10" s="79"/>
      <c r="H10" s="79"/>
      <c r="I10" s="10">
        <f>data!G14</f>
        <v>0</v>
      </c>
      <c r="J10" s="15">
        <f>data!H14</f>
        <v>0</v>
      </c>
      <c r="K10" s="10" t="e">
        <f>data!#REF!</f>
        <v>#REF!</v>
      </c>
      <c r="L10" s="16">
        <f>data!E14</f>
        <v>0</v>
      </c>
      <c r="M10" s="16" t="e">
        <f>data!#REF!</f>
        <v>#REF!</v>
      </c>
      <c r="N10" s="17">
        <f>data!L14/data!N14*1000</f>
        <v>13.907185628742514</v>
      </c>
      <c r="O10" s="17">
        <f>data!Z14/data!AA14*1000</f>
        <v>29.773584905660375</v>
      </c>
      <c r="P10" s="15">
        <f>data!I14/data!L14</f>
        <v>38.13778256189452</v>
      </c>
      <c r="Q10" s="17">
        <f>data!Y14/data!Z14</f>
        <v>41.93916349809886</v>
      </c>
      <c r="R10" s="18" t="e">
        <f>data!#REF!</f>
        <v>#REF!</v>
      </c>
      <c r="S10" s="19">
        <f>data!I14/data!D14</f>
        <v>0.6170323928944619</v>
      </c>
      <c r="T10" s="19">
        <f>data!J14/data!D14</f>
        <v>0.538662486938349</v>
      </c>
      <c r="U10" s="19">
        <f>data!K14/data!D14</f>
        <v>0.09648206199930337</v>
      </c>
      <c r="V10" s="19">
        <f>data!Y14/data!D14</f>
        <v>0.5762800417972831</v>
      </c>
      <c r="W10" s="17">
        <f>(data!O14/data!I14/365)*1000000</f>
        <v>505.7241947270134</v>
      </c>
      <c r="X10" s="17">
        <f>(data!O14/data!L14/12)*1000</f>
        <v>586.6523143164694</v>
      </c>
      <c r="Y10" s="17">
        <f>(data!Q14/data!I14/365)*1000000</f>
        <v>378.8369116799864</v>
      </c>
      <c r="Z10" s="17">
        <f>(data!Q14/data!L14/12)*1000</f>
        <v>439.45999282382496</v>
      </c>
      <c r="AA10" s="19">
        <f>data!R14/data!Q14</f>
        <v>0.41144291808699557</v>
      </c>
      <c r="AB10" s="19">
        <f>data!U14/data!Q14</f>
        <v>0.5213202424935192</v>
      </c>
      <c r="AC10" s="19">
        <f>data!V14/data!Q14</f>
        <v>0.06715519176991692</v>
      </c>
      <c r="AD10" s="19">
        <f>data!W14/data!Q14</f>
        <v>0</v>
      </c>
      <c r="AE10" s="18">
        <f>(data!R14/data!I14/365)*1000000</f>
        <v>155.86976442067902</v>
      </c>
      <c r="AF10" s="18">
        <f>(data!S14/data!J14/365)*1000000</f>
        <v>171.48753925124782</v>
      </c>
      <c r="AG10" s="17">
        <f>(data!T14/data!K14/365)*1000000</f>
        <v>39.56283072053806</v>
      </c>
      <c r="AH10" s="19">
        <f>((data!O14-data!Q14)/data!O14)</f>
        <v>0.25090214067278294</v>
      </c>
      <c r="AI10" s="17">
        <f>((data!O14-data!Q14)/data!N14/365)*1000000</f>
        <v>67.29964728078093</v>
      </c>
      <c r="AJ10" s="17">
        <f>((data!O14-data!Q14)/data!L14/365)*1000</f>
        <v>4.839199610717079</v>
      </c>
      <c r="AK10" s="19">
        <f>data!M14/data!L14</f>
        <v>0.05425188374596341</v>
      </c>
      <c r="AL10" s="19">
        <f>data!P14/data!Q14</f>
        <v>0.1592129166581617</v>
      </c>
      <c r="AM10" s="17">
        <f>data!X14/data!N14</f>
        <v>1.2365269461077844</v>
      </c>
      <c r="AN10" s="17">
        <f>data!AB14/data!AA14</f>
        <v>79.05660377358491</v>
      </c>
      <c r="AO10" s="20" t="e">
        <f>data!AT14/(data!Q14*1000000)/data!#REF!</f>
        <v>#REF!</v>
      </c>
      <c r="AP10" s="20" t="e">
        <f>data!AT14/(data!O14*1000000)/data!#REF!</f>
        <v>#REF!</v>
      </c>
      <c r="AQ10" s="20" t="e">
        <f>data!AU14/(data!Q14*1000000)/data!#REF!</f>
        <v>#REF!</v>
      </c>
      <c r="AR10" s="19">
        <f>data!AU14/data!AT14</f>
        <v>0.5241684980526702</v>
      </c>
      <c r="AS10" s="19">
        <f>data!AV14/data!AT14</f>
        <v>0.3494453140234101</v>
      </c>
      <c r="AT10" s="20" t="e">
        <f>data!AV14/data!#REF!/data!Y14/1000</f>
        <v>#REF!</v>
      </c>
      <c r="AU10" s="17" t="e">
        <f>data!#REF!/data!L14</f>
        <v>#REF!</v>
      </c>
      <c r="AV10" s="17">
        <f>data!F14/(data!L14+data!Z14)</f>
        <v>67.34575087310827</v>
      </c>
      <c r="AW10" s="17" t="e">
        <f>data!#REF!/data!I14</f>
        <v>#REF!</v>
      </c>
      <c r="AX10" s="17">
        <f>data!F14/(data!I14+data!Y14)</f>
        <v>1.6885580852305895</v>
      </c>
      <c r="AY10" s="17" t="e">
        <f>data!#REF!/data!Z14</f>
        <v>#REF!</v>
      </c>
      <c r="AZ10" s="17" t="e">
        <f>data!#REF!/data!Y14</f>
        <v>#REF!</v>
      </c>
      <c r="BA10" s="19" t="e">
        <f>data!#REF!/data!F14</f>
        <v>#REF!</v>
      </c>
      <c r="BB10" s="19" t="e">
        <f>data!#REF!/data!F14</f>
        <v>#REF!</v>
      </c>
      <c r="BC10" s="19">
        <f>data!AX14/data!AT14</f>
        <v>0.39242886580552</v>
      </c>
      <c r="BD10" s="19">
        <f>data!AY14/data!AT14</f>
        <v>0.1633011325607256</v>
      </c>
      <c r="BE10" s="19">
        <f>data!AZ14/data!AT14</f>
        <v>0</v>
      </c>
      <c r="BF10" s="16" t="e">
        <f>data!#REF!</f>
        <v>#REF!</v>
      </c>
      <c r="BG10" s="19" t="e">
        <f>data!#REF!/data!I14</f>
        <v>#REF!</v>
      </c>
      <c r="BH10" s="19" t="e">
        <f>data!#REF!/data!#REF!</f>
        <v>#REF!</v>
      </c>
      <c r="BI10" s="19" t="e">
        <f>data!#REF!/data!#REF!</f>
        <v>#REF!</v>
      </c>
      <c r="BJ10" s="19" t="e">
        <f>(data!#REF!/(1000*(data!L14+data!Z14)))</f>
        <v>#REF!</v>
      </c>
      <c r="BK10" s="19">
        <f>(data!AF14+data!AG14)/data!AC14</f>
        <v>2</v>
      </c>
      <c r="BL10" s="19">
        <f>data!AF14/data!AC14</f>
        <v>1</v>
      </c>
      <c r="BM10" s="19">
        <f>data!AG14/data!AC14</f>
        <v>1</v>
      </c>
      <c r="BN10" s="20" t="e">
        <f>data!AH14/data!#REF!/(data!Q14*1000000)</f>
        <v>#REF!</v>
      </c>
      <c r="BO10" s="20" t="e">
        <f>data!AH14/data!#REF!/(data!L14*1000)</f>
        <v>#REF!</v>
      </c>
      <c r="BP10" s="49" t="e">
        <f>data!AK14/data!#REF!/(data!Q14*1000000)</f>
        <v>#REF!</v>
      </c>
      <c r="BQ10" s="50">
        <f>data!AK14/data!AH14</f>
        <v>0.622448791883962</v>
      </c>
      <c r="BR10" s="50">
        <f>data!AL14/data!AH14</f>
        <v>0.377551208116038</v>
      </c>
      <c r="BS10" s="50">
        <f>data!AM14/data!AK14</f>
        <v>0.4646247848155509</v>
      </c>
      <c r="BT10" s="50">
        <f>data!AN14/data!AK14</f>
        <v>0.4593301391218258</v>
      </c>
      <c r="BU10" s="50">
        <f>data!AO14/data!AK14</f>
        <v>0.0760450760626233</v>
      </c>
      <c r="BV10" s="19">
        <f>data!AP14/data!AK14</f>
        <v>0</v>
      </c>
      <c r="BW10" s="20" t="e">
        <f>data!AL14/data!#REF!/data!Y14/1000</f>
        <v>#REF!</v>
      </c>
      <c r="BX10" s="19" t="e">
        <f>(data!AH14/data!#REF!)/(data!#REF!*data!I14*1000)</f>
        <v>#REF!</v>
      </c>
      <c r="BY10" s="20" t="e">
        <f>data!#REF!/data!#REF!*12</f>
        <v>#REF!</v>
      </c>
      <c r="BZ10" s="20" t="e">
        <f>data!#REF!/data!#REF!*12</f>
        <v>#REF!</v>
      </c>
      <c r="CA10" s="51" t="e">
        <f>(data!#REF!*12)/(data!AH14/(data!L14*1000))</f>
        <v>#REF!</v>
      </c>
      <c r="CB10" s="20" t="e">
        <f>data!#REF!/data!#REF!*12</f>
        <v>#REF!</v>
      </c>
      <c r="CC10" s="20" t="e">
        <f>data!#REF!/data!#REF!*12</f>
        <v>#REF!</v>
      </c>
      <c r="CD10" s="19" t="e">
        <f>((data!#REF!*12)/(data!AK14/(data!L14*1000)))</f>
        <v>#REF!</v>
      </c>
      <c r="CE10" s="19" t="e">
        <f>((data!#REF!*12)/(data!AL14/(data!Z14*1000)))</f>
        <v>#REF!</v>
      </c>
      <c r="CF10" s="21">
        <f>(data!AJ14/data!U14)/(data!AI14/data!R14)</f>
        <v>0.849148158154041</v>
      </c>
      <c r="CG10" s="17">
        <f>(data!AN14/data!U14)/(data!AM14/data!R14)</f>
        <v>0.7802388528167186</v>
      </c>
      <c r="CH10" s="17">
        <f>(data!AR14/data!AE14)/(data!AQ14/data!AD14)</f>
        <v>1.0474618148979387</v>
      </c>
      <c r="CI10" s="20" t="e">
        <f>data!#REF!/data!#REF!</f>
        <v>#REF!</v>
      </c>
      <c r="CJ10" s="19" t="e">
        <f>data!#REF!/data!#REF!/data!#REF!</f>
        <v>#REF!</v>
      </c>
      <c r="CK10" s="20" t="e">
        <f>data!#REF!/data!#REF!</f>
        <v>#REF!</v>
      </c>
      <c r="CL10" s="19" t="e">
        <f>data!#REF!/data!#REF!/data!#REF!</f>
        <v>#REF!</v>
      </c>
      <c r="CM10" s="18">
        <f>data!BF14/data!AH14*365</f>
        <v>0.046580530338566815</v>
      </c>
      <c r="CN10" s="19">
        <f>data!AS14/data!AH14</f>
        <v>0.9326947839923475</v>
      </c>
      <c r="CO10" s="17">
        <f>data!AH14/data!AT14</f>
        <v>0.9167828740375342</v>
      </c>
      <c r="CP10" s="19" t="e">
        <f>data!BE14/data!AS14</f>
        <v>#VALUE!</v>
      </c>
      <c r="CQ10" s="17" t="e">
        <f>data!BA14/((data!I14+data!Y14)*1000)/data!#REF!</f>
        <v>#REF!</v>
      </c>
      <c r="CR10" s="17" t="e">
        <f>data!BB14/data!I14/data!#REF!/1000</f>
        <v>#REF!</v>
      </c>
      <c r="CS10" s="17" t="e">
        <f>data!BC14/data!Y14/data!#REF!/1000</f>
        <v>#REF!</v>
      </c>
      <c r="CT10" s="20" t="e">
        <f t="shared" si="3"/>
        <v>#REF!</v>
      </c>
      <c r="CU10" s="20" t="e">
        <f t="shared" si="4"/>
        <v>#REF!</v>
      </c>
      <c r="CV10" s="20" t="e">
        <f t="shared" si="5"/>
        <v>#REF!</v>
      </c>
      <c r="CW10" s="20" t="e">
        <f t="shared" si="6"/>
        <v>#REF!</v>
      </c>
      <c r="CX10" s="19" t="e">
        <f t="shared" si="7"/>
        <v>#REF!</v>
      </c>
      <c r="CY10" s="20" t="e">
        <f t="shared" si="8"/>
        <v>#REF!</v>
      </c>
      <c r="CZ10" s="20" t="e">
        <f t="shared" si="9"/>
        <v>#REF!</v>
      </c>
      <c r="DA10" s="20" t="e">
        <f t="shared" si="10"/>
        <v>#REF!</v>
      </c>
      <c r="DB10" s="20" t="e">
        <f t="shared" si="11"/>
        <v>#REF!</v>
      </c>
      <c r="DC10" s="20" t="e">
        <f t="shared" si="12"/>
        <v>#REF!</v>
      </c>
      <c r="DD10" s="19" t="e">
        <f t="shared" si="13"/>
        <v>#REF!</v>
      </c>
      <c r="DE10" s="20" t="e">
        <f t="shared" si="14"/>
        <v>#REF!</v>
      </c>
      <c r="DF10" s="19" t="e">
        <f t="shared" si="15"/>
        <v>#REF!</v>
      </c>
      <c r="DG10" s="20" t="e">
        <f>data!#REF!</f>
        <v>#REF!</v>
      </c>
      <c r="DH10" s="15" t="e">
        <f>data!#REF!</f>
        <v>#REF!</v>
      </c>
      <c r="DI10" s="10" t="e">
        <f>data!#REF!</f>
        <v>#REF!</v>
      </c>
      <c r="DJ10" s="15" t="e">
        <f>data!#REF!</f>
        <v>#REF!</v>
      </c>
      <c r="DK10" s="15" t="e">
        <f>data!#REF!</f>
        <v>#REF!</v>
      </c>
      <c r="DL10" s="15" t="e">
        <f>data!#REF!</f>
        <v>#REF!</v>
      </c>
      <c r="DM10" s="15" t="e">
        <f>data!#REF!</f>
        <v>#REF!</v>
      </c>
      <c r="DN10" s="15" t="e">
        <f>data!#REF!</f>
        <v>#REF!</v>
      </c>
      <c r="DO10" s="15" t="e">
        <f>data!#REF!</f>
        <v>#REF!</v>
      </c>
      <c r="DP10" s="15" t="e">
        <f>data!#REF!</f>
        <v>#REF!</v>
      </c>
      <c r="DQ10" s="15" t="e">
        <f>data!#REF!</f>
        <v>#REF!</v>
      </c>
      <c r="DR10" s="15" t="e">
        <f>data!#REF!</f>
        <v>#REF!</v>
      </c>
      <c r="DS10" s="15" t="e">
        <f>data!#REF!</f>
        <v>#REF!</v>
      </c>
      <c r="DT10" s="15" t="e">
        <f>data!#REF!</f>
        <v>#REF!</v>
      </c>
      <c r="DU10" s="15" t="e">
        <f>data!#REF!</f>
        <v>#REF!</v>
      </c>
      <c r="DV10" s="15" t="e">
        <f>data!#REF!</f>
        <v>#REF!</v>
      </c>
      <c r="DW10" s="15" t="e">
        <f>data!#REF!</f>
        <v>#REF!</v>
      </c>
      <c r="DX10" s="15" t="e">
        <f>data!#REF!</f>
        <v>#REF!</v>
      </c>
      <c r="DY10" s="15" t="e">
        <f>data!#REF!</f>
        <v>#REF!</v>
      </c>
      <c r="DZ10" s="15" t="e">
        <f>data!#REF!</f>
        <v>#REF!</v>
      </c>
      <c r="EA10" s="15" t="e">
        <f>data!#REF!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3" sqref="S3"/>
    </sheetView>
  </sheetViews>
  <sheetFormatPr defaultColWidth="9.140625" defaultRowHeight="12.75"/>
  <cols>
    <col min="1" max="1" width="15.140625" style="0" customWidth="1"/>
    <col min="2" max="2" width="17.00390625" style="0" customWidth="1"/>
    <col min="3" max="3" width="13.8515625" style="0" bestFit="1" customWidth="1"/>
    <col min="67" max="67" width="10.28125" style="0" bestFit="1" customWidth="1"/>
    <col min="71" max="71" width="10.7109375" style="0" bestFit="1" customWidth="1"/>
    <col min="95" max="95" width="12.28125" style="0" bestFit="1" customWidth="1"/>
    <col min="99" max="99" width="10.28125" style="0" bestFit="1" customWidth="1"/>
    <col min="109" max="109" width="9.28125" style="0" bestFit="1" customWidth="1"/>
  </cols>
  <sheetData>
    <row r="1" spans="1:131" s="26" customFormat="1" ht="151.5" customHeight="1" thickBot="1">
      <c r="A1" s="53" t="s">
        <v>1</v>
      </c>
      <c r="B1" s="54" t="s">
        <v>2</v>
      </c>
      <c r="C1" s="54" t="s">
        <v>36</v>
      </c>
      <c r="D1" s="54" t="s">
        <v>37</v>
      </c>
      <c r="E1" s="54" t="s">
        <v>38</v>
      </c>
      <c r="F1" s="54" t="s">
        <v>39</v>
      </c>
      <c r="G1" s="54" t="s">
        <v>40</v>
      </c>
      <c r="H1" s="54" t="s">
        <v>41</v>
      </c>
      <c r="I1" s="54" t="s">
        <v>42</v>
      </c>
      <c r="J1" s="55" t="s">
        <v>5</v>
      </c>
      <c r="K1" s="54" t="s">
        <v>4</v>
      </c>
      <c r="L1" s="56" t="s">
        <v>43</v>
      </c>
      <c r="M1" s="56" t="s">
        <v>44</v>
      </c>
      <c r="N1" s="56" t="s">
        <v>45</v>
      </c>
      <c r="O1" s="56" t="s">
        <v>46</v>
      </c>
      <c r="P1" s="56" t="s">
        <v>47</v>
      </c>
      <c r="Q1" s="56" t="s">
        <v>48</v>
      </c>
      <c r="R1" s="57" t="s">
        <v>3</v>
      </c>
      <c r="S1" s="58" t="s">
        <v>49</v>
      </c>
      <c r="T1" s="59" t="s">
        <v>50</v>
      </c>
      <c r="U1" s="59" t="s">
        <v>51</v>
      </c>
      <c r="V1" s="59" t="s">
        <v>52</v>
      </c>
      <c r="W1" s="60" t="s">
        <v>53</v>
      </c>
      <c r="X1" s="56" t="s">
        <v>54</v>
      </c>
      <c r="Y1" s="60" t="s">
        <v>55</v>
      </c>
      <c r="Z1" s="56" t="s">
        <v>56</v>
      </c>
      <c r="AA1" s="59" t="s">
        <v>57</v>
      </c>
      <c r="AB1" s="59" t="s">
        <v>58</v>
      </c>
      <c r="AC1" s="59" t="s">
        <v>59</v>
      </c>
      <c r="AD1" s="59" t="s">
        <v>60</v>
      </c>
      <c r="AE1" s="56" t="s">
        <v>61</v>
      </c>
      <c r="AF1" s="56" t="s">
        <v>62</v>
      </c>
      <c r="AG1" s="56" t="s">
        <v>63</v>
      </c>
      <c r="AH1" s="58" t="s">
        <v>64</v>
      </c>
      <c r="AI1" s="56" t="s">
        <v>65</v>
      </c>
      <c r="AJ1" s="61" t="s">
        <v>66</v>
      </c>
      <c r="AK1" s="59" t="s">
        <v>67</v>
      </c>
      <c r="AL1" s="59" t="s">
        <v>68</v>
      </c>
      <c r="AM1" s="61" t="s">
        <v>69</v>
      </c>
      <c r="AN1" s="56" t="s">
        <v>70</v>
      </c>
      <c r="AO1" s="62" t="s">
        <v>71</v>
      </c>
      <c r="AP1" s="63" t="s">
        <v>72</v>
      </c>
      <c r="AQ1" s="64" t="s">
        <v>73</v>
      </c>
      <c r="AR1" s="59" t="s">
        <v>74</v>
      </c>
      <c r="AS1" s="59" t="s">
        <v>75</v>
      </c>
      <c r="AT1" s="64" t="s">
        <v>76</v>
      </c>
      <c r="AU1" s="65" t="s">
        <v>77</v>
      </c>
      <c r="AV1" s="61" t="s">
        <v>78</v>
      </c>
      <c r="AW1" s="61" t="s">
        <v>79</v>
      </c>
      <c r="AX1" s="61" t="s">
        <v>80</v>
      </c>
      <c r="AY1" s="56" t="s">
        <v>81</v>
      </c>
      <c r="AZ1" s="56" t="s">
        <v>82</v>
      </c>
      <c r="BA1" s="59" t="s">
        <v>83</v>
      </c>
      <c r="BB1" s="59" t="s">
        <v>84</v>
      </c>
      <c r="BC1" s="58" t="s">
        <v>85</v>
      </c>
      <c r="BD1" s="58" t="s">
        <v>86</v>
      </c>
      <c r="BE1" s="59" t="s">
        <v>87</v>
      </c>
      <c r="BF1" s="60" t="s">
        <v>88</v>
      </c>
      <c r="BG1" s="59" t="s">
        <v>89</v>
      </c>
      <c r="BH1" s="59" t="s">
        <v>90</v>
      </c>
      <c r="BI1" s="59" t="s">
        <v>91</v>
      </c>
      <c r="BJ1" s="59" t="s">
        <v>92</v>
      </c>
      <c r="BK1" s="58" t="s">
        <v>93</v>
      </c>
      <c r="BL1" s="58" t="s">
        <v>94</v>
      </c>
      <c r="BM1" s="58" t="s">
        <v>95</v>
      </c>
      <c r="BN1" s="63" t="s">
        <v>96</v>
      </c>
      <c r="BO1" s="63" t="s">
        <v>97</v>
      </c>
      <c r="BP1" s="63" t="s">
        <v>98</v>
      </c>
      <c r="BQ1" s="59" t="s">
        <v>99</v>
      </c>
      <c r="BR1" s="59" t="s">
        <v>100</v>
      </c>
      <c r="BS1" s="59" t="s">
        <v>101</v>
      </c>
      <c r="BT1" s="59" t="s">
        <v>102</v>
      </c>
      <c r="BU1" s="59" t="s">
        <v>103</v>
      </c>
      <c r="BV1" s="66" t="s">
        <v>104</v>
      </c>
      <c r="BW1" s="67" t="s">
        <v>105</v>
      </c>
      <c r="BX1" s="66" t="s">
        <v>106</v>
      </c>
      <c r="BY1" s="63" t="s">
        <v>107</v>
      </c>
      <c r="BZ1" s="64" t="s">
        <v>108</v>
      </c>
      <c r="CA1" s="66" t="s">
        <v>109</v>
      </c>
      <c r="CB1" s="66" t="s">
        <v>110</v>
      </c>
      <c r="CC1" s="66" t="s">
        <v>111</v>
      </c>
      <c r="CD1" s="59" t="s">
        <v>112</v>
      </c>
      <c r="CE1" s="59" t="s">
        <v>113</v>
      </c>
      <c r="CF1" s="68" t="s">
        <v>114</v>
      </c>
      <c r="CG1" s="68" t="s">
        <v>115</v>
      </c>
      <c r="CH1" s="68" t="s">
        <v>116</v>
      </c>
      <c r="CI1" s="60" t="s">
        <v>117</v>
      </c>
      <c r="CJ1" s="59" t="s">
        <v>118</v>
      </c>
      <c r="CK1" s="56" t="s">
        <v>119</v>
      </c>
      <c r="CL1" s="54" t="s">
        <v>120</v>
      </c>
      <c r="CM1" s="60" t="s">
        <v>121</v>
      </c>
      <c r="CN1" s="58" t="s">
        <v>122</v>
      </c>
      <c r="CO1" s="69" t="s">
        <v>123</v>
      </c>
      <c r="CP1" s="59" t="s">
        <v>124</v>
      </c>
      <c r="CQ1" s="62" t="s">
        <v>125</v>
      </c>
      <c r="CR1" s="64" t="s">
        <v>126</v>
      </c>
      <c r="CS1" s="64" t="s">
        <v>127</v>
      </c>
      <c r="CT1" s="63" t="s">
        <v>96</v>
      </c>
      <c r="CU1" s="63" t="s">
        <v>97</v>
      </c>
      <c r="CV1" s="63" t="s">
        <v>98</v>
      </c>
      <c r="CW1" s="63" t="s">
        <v>105</v>
      </c>
      <c r="CX1" s="66" t="s">
        <v>106</v>
      </c>
      <c r="CY1" s="67" t="s">
        <v>152</v>
      </c>
      <c r="CZ1" s="63" t="s">
        <v>108</v>
      </c>
      <c r="DA1" s="63" t="s">
        <v>110</v>
      </c>
      <c r="DB1" s="63" t="s">
        <v>111</v>
      </c>
      <c r="DC1" s="64" t="s">
        <v>117</v>
      </c>
      <c r="DD1" s="59" t="s">
        <v>118</v>
      </c>
      <c r="DE1" s="64" t="s">
        <v>119</v>
      </c>
      <c r="DF1" s="59" t="s">
        <v>120</v>
      </c>
      <c r="DG1" s="70" t="s">
        <v>129</v>
      </c>
      <c r="DH1" s="70" t="s">
        <v>130</v>
      </c>
      <c r="DI1" s="70" t="s">
        <v>131</v>
      </c>
      <c r="DJ1" s="70" t="s">
        <v>132</v>
      </c>
      <c r="DK1" s="70" t="s">
        <v>133</v>
      </c>
      <c r="DL1" s="70" t="s">
        <v>134</v>
      </c>
      <c r="DM1" s="70" t="s">
        <v>135</v>
      </c>
      <c r="DN1" s="70" t="s">
        <v>136</v>
      </c>
      <c r="DO1" s="70" t="s">
        <v>137</v>
      </c>
      <c r="DP1" s="70" t="s">
        <v>138</v>
      </c>
      <c r="DQ1" s="70" t="s">
        <v>139</v>
      </c>
      <c r="DR1" s="70" t="s">
        <v>140</v>
      </c>
      <c r="DS1" s="70" t="s">
        <v>141</v>
      </c>
      <c r="DT1" s="70" t="s">
        <v>142</v>
      </c>
      <c r="DU1" s="70" t="s">
        <v>143</v>
      </c>
      <c r="DV1" s="70" t="s">
        <v>144</v>
      </c>
      <c r="DW1" s="70" t="s">
        <v>145</v>
      </c>
      <c r="DX1" s="70" t="s">
        <v>146</v>
      </c>
      <c r="DY1" s="70" t="s">
        <v>147</v>
      </c>
      <c r="DZ1" s="70" t="s">
        <v>148</v>
      </c>
      <c r="EA1" s="71" t="s">
        <v>149</v>
      </c>
    </row>
    <row r="2" spans="1:131" s="26" customFormat="1" ht="15.75" customHeight="1" thickBot="1" thickTop="1">
      <c r="A2" s="72"/>
      <c r="B2" s="3"/>
      <c r="C2" s="3"/>
      <c r="D2" s="3"/>
      <c r="E2" s="3"/>
      <c r="F2" s="3"/>
      <c r="G2" s="3"/>
      <c r="H2" s="3"/>
      <c r="I2" s="3"/>
      <c r="J2" s="4"/>
      <c r="K2" s="3"/>
      <c r="L2" s="5"/>
      <c r="M2" s="5"/>
      <c r="N2" s="5"/>
      <c r="O2" s="5"/>
      <c r="P2" s="5"/>
      <c r="Q2" s="5"/>
      <c r="R2" s="28"/>
      <c r="S2" s="22"/>
      <c r="T2" s="6"/>
      <c r="U2" s="6"/>
      <c r="V2" s="6"/>
      <c r="W2" s="7"/>
      <c r="X2" s="5"/>
      <c r="Y2" s="7"/>
      <c r="Z2" s="5"/>
      <c r="AA2" s="6"/>
      <c r="AB2" s="6"/>
      <c r="AC2" s="6"/>
      <c r="AD2" s="6"/>
      <c r="AE2" s="5"/>
      <c r="AF2" s="5"/>
      <c r="AG2" s="5"/>
      <c r="AH2" s="22"/>
      <c r="AI2" s="5"/>
      <c r="AJ2" s="29"/>
      <c r="AK2" s="6"/>
      <c r="AL2" s="6"/>
      <c r="AM2" s="29"/>
      <c r="AN2" s="5"/>
      <c r="AO2" s="30"/>
      <c r="AP2" s="31"/>
      <c r="AQ2" s="32"/>
      <c r="AR2" s="6"/>
      <c r="AS2" s="6"/>
      <c r="AT2" s="32"/>
      <c r="AU2" s="33"/>
      <c r="AV2" s="29"/>
      <c r="AW2" s="29"/>
      <c r="AX2" s="29"/>
      <c r="AY2" s="5"/>
      <c r="AZ2" s="5"/>
      <c r="BA2" s="6"/>
      <c r="BB2" s="6"/>
      <c r="BC2" s="22"/>
      <c r="BD2" s="22"/>
      <c r="BE2" s="6"/>
      <c r="BF2" s="7"/>
      <c r="BG2" s="6"/>
      <c r="BH2" s="6"/>
      <c r="BI2" s="6"/>
      <c r="BJ2" s="6"/>
      <c r="BK2" s="22"/>
      <c r="BL2" s="22"/>
      <c r="BM2" s="22"/>
      <c r="BN2" s="31"/>
      <c r="BO2" s="31"/>
      <c r="BP2" s="31"/>
      <c r="BQ2" s="6"/>
      <c r="BR2" s="6"/>
      <c r="BS2" s="6"/>
      <c r="BT2" s="6"/>
      <c r="BU2" s="6"/>
      <c r="BV2" s="34"/>
      <c r="BW2" s="8"/>
      <c r="BX2" s="34"/>
      <c r="BY2" s="31"/>
      <c r="BZ2" s="32"/>
      <c r="CA2" s="34"/>
      <c r="CB2" s="34"/>
      <c r="CC2" s="34"/>
      <c r="CD2" s="6"/>
      <c r="CE2" s="6"/>
      <c r="CF2" s="35"/>
      <c r="CG2" s="35"/>
      <c r="CH2" s="35"/>
      <c r="CI2" s="7"/>
      <c r="CJ2" s="6"/>
      <c r="CK2" s="5"/>
      <c r="CL2" s="3"/>
      <c r="CM2" s="7"/>
      <c r="CN2" s="22"/>
      <c r="CO2" s="36"/>
      <c r="CP2" s="6"/>
      <c r="CQ2" s="30"/>
      <c r="CR2" s="32"/>
      <c r="CS2" s="32"/>
      <c r="CT2" s="31"/>
      <c r="CU2" s="31"/>
      <c r="CV2" s="31"/>
      <c r="CW2" s="31"/>
      <c r="CX2" s="34"/>
      <c r="CY2" s="8"/>
      <c r="CZ2" s="31"/>
      <c r="DA2" s="31"/>
      <c r="DB2" s="31"/>
      <c r="DC2" s="32"/>
      <c r="DD2" s="6"/>
      <c r="DE2" s="32"/>
      <c r="DF2" s="6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73"/>
    </row>
    <row r="3" spans="1:256" s="37" customFormat="1" ht="12.75">
      <c r="A3" s="40" t="e">
        <f>'indicators-aux'!A3</f>
        <v>#REF!</v>
      </c>
      <c r="B3" s="37" t="str">
        <f>'indicators-aux'!B3</f>
        <v>Астана</v>
      </c>
      <c r="C3" s="37" t="e">
        <f>'indicators-aux'!C3</f>
        <v>#REF!</v>
      </c>
      <c r="D3" s="37">
        <v>5</v>
      </c>
      <c r="E3" s="41" t="str">
        <f>IF(ISNUMBER('indicators-aux'!E3),'indicators-aux'!E3,"-")</f>
        <v>-</v>
      </c>
      <c r="F3" s="41">
        <f>IF(ISTEXT('indicators-aux'!F3),'indicators-aux'!F3,"")</f>
      </c>
      <c r="G3" s="41">
        <f>IF(ISTEXT('indicators-aux'!G3),'indicators-aux'!G3,"")</f>
      </c>
      <c r="H3" s="41">
        <f>IF(ISTEXT('indicators-aux'!H3),'indicators-aux'!H3,"")</f>
      </c>
      <c r="I3" s="41" t="str">
        <f>IF(ISTEXT('indicators-aux'!I3),'indicators-aux'!I3,"")</f>
        <v>отсутствует</v>
      </c>
      <c r="J3" s="41" t="str">
        <f>IF(ISTEXT('indicators-aux'!J3),'indicators-aux'!J3,"")</f>
        <v>D</v>
      </c>
      <c r="K3" s="41">
        <f>IF(ISNUMBER('indicators-aux'!K3),'indicators-aux'!K3,"")</f>
      </c>
      <c r="L3" s="41">
        <f>IF(ISNUMBER('indicators-aux'!L3),'indicators-aux'!L3,"")</f>
        <v>1</v>
      </c>
      <c r="M3" s="41">
        <f>IF(ISNUMBER('indicators-aux'!M3),'indicators-aux'!M3,"")</f>
      </c>
      <c r="N3" s="41">
        <f>IF(ISNUMBER('indicators-aux'!N3),'indicators-aux'!N3,"")</f>
        <v>14.207317073170731</v>
      </c>
      <c r="O3" s="41">
        <f>IF(ISNUMBER('indicators-aux'!O3),'indicators-aux'!O3,"")</f>
        <v>30.574162679425836</v>
      </c>
      <c r="P3" s="41">
        <f>IF(ISNUMBER('indicators-aux'!P3),'indicators-aux'!P3,"")</f>
        <v>31.659513590844064</v>
      </c>
      <c r="Q3" s="41">
        <f>IF(ISNUMBER('indicators-aux'!Q3),'indicators-aux'!Q3,"")</f>
        <v>33.69327073552426</v>
      </c>
      <c r="R3" s="42">
        <f>IF(ISNUMBER('indicators-aux'!R3),'indicators-aux'!R3,"")</f>
      </c>
      <c r="S3" s="43">
        <f>IF(ISNUMBER('indicators-aux'!S3),'indicators-aux'!S3,"")</f>
        <v>0.5808398950131234</v>
      </c>
      <c r="T3" s="43">
        <f>IF(ISNUMBER('indicators-aux'!T3),'indicators-aux'!T3,"")</f>
        <v>0.30761154855643047</v>
      </c>
      <c r="U3" s="43">
        <f>IF(ISNUMBER('indicators-aux'!U3),'indicators-aux'!U3,"")</f>
        <v>0.09947506561679789</v>
      </c>
      <c r="V3" s="43">
        <f>IF(ISNUMBER('indicators-aux'!V3),'indicators-aux'!V3,"")</f>
        <v>0.5650918635170604</v>
      </c>
      <c r="W3" s="41">
        <f>IF(ISNUMBER('indicators-aux'!W3),'indicators-aux'!W3,"")</f>
        <v>620.1338293644652</v>
      </c>
      <c r="X3" s="41">
        <f>IF(ISNUMBER('indicators-aux'!X3),'indicators-aux'!X3,"")</f>
        <v>597.1745350500715</v>
      </c>
      <c r="Y3" s="41">
        <f>IF(ISNUMBER('indicators-aux'!Y3),'indicators-aux'!Y3,"")</f>
        <v>373.85561037208527</v>
      </c>
      <c r="Z3" s="41">
        <f>IF(ISNUMBER('indicators-aux'!Z3),'indicators-aux'!Z3,"")</f>
        <v>360.0143061516452</v>
      </c>
      <c r="AA3" s="43">
        <f>IF(ISNUMBER('indicators-aux'!AA3),'indicators-aux'!AA3,"")</f>
        <v>0.5040068878733691</v>
      </c>
      <c r="AB3" s="43">
        <f>IF(ISNUMBER('indicators-aux'!AB3),'indicators-aux'!AB3,"")</f>
        <v>0.4265183124710246</v>
      </c>
      <c r="AC3" s="43">
        <f>IF(ISNUMBER('indicators-aux'!AC3),'indicators-aux'!AC3,"")</f>
        <v>0.06954102920723226</v>
      </c>
      <c r="AD3" s="43">
        <f>IF(ISNUMBER('indicators-aux'!AD3),'indicators-aux'!AD3,"")</f>
      </c>
      <c r="AE3" s="41">
        <f>IF(ISNUMBER('indicators-aux'!AE3),'indicators-aux'!AE3,"")</f>
        <v>188.42580269763351</v>
      </c>
      <c r="AF3" s="41">
        <f>IF(ISNUMBER('indicators-aux'!AF3),'indicators-aux'!AF3,"")</f>
        <v>342.69951844406</v>
      </c>
      <c r="AG3" s="41">
        <f>IF(ISNUMBER('indicators-aux'!AG3),'indicators-aux'!AG3,"")</f>
        <v>40.48143998265081</v>
      </c>
      <c r="AH3" s="43">
        <f>IF(ISNUMBER('indicators-aux'!AH3),'indicators-aux'!AH3,"")</f>
        <v>0.3971372102772953</v>
      </c>
      <c r="AI3" s="41">
        <f>IF(ISNUMBER('indicators-aux'!AI3),'indicators-aux'!AI3,"")</f>
        <v>110.77514199799532</v>
      </c>
      <c r="AJ3" s="44">
        <f>IF(ISNUMBER('indicators-aux'!AJ3),'indicators-aux'!AJ3,"")</f>
        <v>7.797048621318125</v>
      </c>
      <c r="AK3" s="43">
        <f>IF(ISNUMBER('indicators-aux'!AK3),'indicators-aux'!AK3,"")</f>
        <v>0.018454935622317595</v>
      </c>
      <c r="AL3" s="43">
        <f>IF(ISNUMBER('indicators-aux'!AL3),'indicators-aux'!AL3,"")</f>
        <v>0.0970262931319955</v>
      </c>
      <c r="AM3" s="44">
        <f>IF(ISNUMBER('indicators-aux'!AM3),'indicators-aux'!AM3,"")</f>
        <v>1.7845528455284554</v>
      </c>
      <c r="AN3" s="41">
        <f>IF(ISNUMBER('indicators-aux'!AN3),'indicators-aux'!AN3,"")</f>
        <v>0</v>
      </c>
      <c r="AO3" s="45">
        <f>IF(ISNUMBER('indicators-aux'!AO3),'indicators-aux'!AO3,"")</f>
      </c>
      <c r="AP3" s="45">
        <f>IF(ISNUMBER('indicators-aux'!AP3),'indicators-aux'!AP3,"")</f>
      </c>
      <c r="AQ3" s="45">
        <f>IF(ISNUMBER('indicators-aux'!AQ3),'indicators-aux'!AQ3,"")</f>
      </c>
      <c r="AR3" s="43">
        <f>IF(ISNUMBER('indicators-aux'!AR3),'indicators-aux'!AR3,"")</f>
        <v>0.467990260564518</v>
      </c>
      <c r="AS3" s="43">
        <f>IF(ISNUMBER('indicators-aux'!AS3),'indicators-aux'!AS3,"")</f>
        <v>0.311993122389162</v>
      </c>
      <c r="AT3" s="45">
        <f>IF(ISNUMBER('indicators-aux'!AT3),'indicators-aux'!AT3,"")</f>
      </c>
      <c r="AU3" s="44">
        <f>IF(ISNUMBER('indicators-aux'!AU3),'indicators-aux'!AU3,"")</f>
      </c>
      <c r="AV3" s="44">
        <f>IF(ISNUMBER('indicators-aux'!AV3),'indicators-aux'!AV3,"")</f>
        <v>61.80866965620329</v>
      </c>
      <c r="AW3" s="44">
        <f>IF(ISNUMBER('indicators-aux'!AW3),'indicators-aux'!AW3,"")</f>
      </c>
      <c r="AX3" s="44">
        <f>IF(ISNUMBER('indicators-aux'!AX3),'indicators-aux'!AX3,"")</f>
        <v>1.8941823179111315</v>
      </c>
      <c r="AY3" s="41">
        <f>IF(ISNUMBER('indicators-aux'!AY3),'indicators-aux'!AY3,"")</f>
      </c>
      <c r="AZ3" s="41">
        <f>IF(ISNUMBER('indicators-aux'!AZ3),'indicators-aux'!AZ3,"")</f>
      </c>
      <c r="BA3" s="43">
        <f>IF(ISNUMBER('indicators-aux'!BA3),'indicators-aux'!BA3,"")</f>
      </c>
      <c r="BB3" s="43">
        <f>IF(ISNUMBER('indicators-aux'!BB3),'indicators-aux'!BB3,"")</f>
      </c>
      <c r="BC3" s="43">
        <f>IF(ISNUMBER('indicators-aux'!BC3),'indicators-aux'!BC3,"")</f>
        <v>0.2606152922984606</v>
      </c>
      <c r="BD3" s="43">
        <f>IF(ISNUMBER('indicators-aux'!BD3),'indicators-aux'!BD3,"")</f>
        <v>0.22343811304207345</v>
      </c>
      <c r="BE3" s="43">
        <f>IF(ISNUMBER('indicators-aux'!BE3),'indicators-aux'!BE3,"")</f>
      </c>
      <c r="BF3" s="41">
        <f>IF(ISNUMBER('indicators-aux'!BF3),'indicators-aux'!BF3,"")</f>
      </c>
      <c r="BG3" s="43">
        <f>IF(ISNUMBER('indicators-aux'!BG3),'indicators-aux'!BG3,"")</f>
      </c>
      <c r="BH3" s="43">
        <f>IF(ISNUMBER('indicators-aux'!BH3),'indicators-aux'!BH3,"")</f>
      </c>
      <c r="BI3" s="43">
        <f>IF(ISNUMBER('indicators-aux'!BI3),'indicators-aux'!BI3,"")</f>
      </c>
      <c r="BJ3" s="43">
        <f>IF(ISNUMBER('indicators-aux'!BJ3),'indicators-aux'!BJ3,"")</f>
      </c>
      <c r="BK3" s="43">
        <f>IF(ISNUMBER('indicators-aux'!BK3),'indicators-aux'!BK3,"")</f>
        <v>2</v>
      </c>
      <c r="BL3" s="43">
        <f>IF(ISNUMBER('indicators-aux'!BL3),'indicators-aux'!BL3,"")</f>
        <v>1</v>
      </c>
      <c r="BM3" s="43">
        <f>IF(ISNUMBER('indicators-aux'!BM3),'indicators-aux'!BM3,"")</f>
        <v>1</v>
      </c>
      <c r="BN3" s="45">
        <f>IF(ISNUMBER('indicators-aux'!BN3),'indicators-aux'!BN3,"")</f>
      </c>
      <c r="BO3" s="45">
        <f>IF(ISNUMBER('indicators-aux'!BO3),'indicators-aux'!BO3,"")</f>
      </c>
      <c r="BP3" s="45">
        <f>IF(ISNUMBER('indicators-aux'!BP3),'indicators-aux'!BP3,"")</f>
      </c>
      <c r="BQ3" s="43">
        <f>IF(ISNUMBER('indicators-aux'!BQ3),'indicators-aux'!BQ3,"")</f>
        <v>0.6734861249108772</v>
      </c>
      <c r="BR3" s="43">
        <f>IF(ISNUMBER('indicators-aux'!BR3),'indicators-aux'!BR3,"")</f>
        <v>0.3265138750891228</v>
      </c>
      <c r="BS3" s="43">
        <f>IF(ISNUMBER('indicators-aux'!BS3),'indicators-aux'!BS3,"")</f>
        <v>0.5051644401686255</v>
      </c>
      <c r="BT3" s="43">
        <f>IF(ISNUMBER('indicators-aux'!BT3),'indicators-aux'!BT3,"")</f>
        <v>0.42531162766034003</v>
      </c>
      <c r="BU3" s="43">
        <f>IF(ISNUMBER('indicators-aux'!BU3),'indicators-aux'!BU3,"")</f>
        <v>0.06952393217103445</v>
      </c>
      <c r="BV3" s="43">
        <f>IF(ISNUMBER('indicators-aux'!BV3),'indicators-aux'!BV3,"")</f>
        <v>0</v>
      </c>
      <c r="BW3" s="41">
        <f>IF(ISNUMBER('indicators-aux'!BW3),'indicators-aux'!BW3,"")</f>
      </c>
      <c r="BX3" s="43">
        <f>IF(ISNUMBER('indicators-aux'!BX3),'indicators-aux'!BX3,"")</f>
      </c>
      <c r="BY3" s="45">
        <f>IF(ISNUMBER('indicators-aux'!BY3),'indicators-aux'!BY3,"")</f>
      </c>
      <c r="BZ3" s="45">
        <f>IF(ISNUMBER('indicators-aux'!BZ3),'indicators-aux'!BZ3,"")</f>
      </c>
      <c r="CA3" s="43">
        <f>IF(ISNUMBER('indicators-aux'!CA3),'indicators-aux'!CA3,"")</f>
      </c>
      <c r="CB3" s="43">
        <f>IF(ISNUMBER('indicators-aux'!CB3),'indicators-aux'!CB3,"")</f>
      </c>
      <c r="CC3" s="43">
        <f>IF(ISNUMBER('indicators-aux'!CC3),'indicators-aux'!CC3,"")</f>
      </c>
      <c r="CD3" s="43">
        <f>IF(ISNUMBER('indicators-aux'!CD3),'indicators-aux'!CD3,"")</f>
      </c>
      <c r="CE3" s="43">
        <f>IF(ISNUMBER('indicators-aux'!CE3),'indicators-aux'!CE3,"")</f>
      </c>
      <c r="CF3" s="38">
        <f>IF(ISNUMBER('indicators-aux'!CF3),'indicators-aux'!CF3,"")</f>
        <v>0.8919215851889668</v>
      </c>
      <c r="CG3" s="38">
        <f>IF(ISNUMBER('indicators-aux'!CG3),'indicators-aux'!CG3,"")</f>
        <v>0.9948858949693409</v>
      </c>
      <c r="CH3" s="38">
        <f>IF(ISNUMBER('indicators-aux'!CH3),'indicators-aux'!CH3,"")</f>
        <v>0.9811818387231509</v>
      </c>
      <c r="CI3" s="45">
        <f>IF(ISNUMBER('indicators-aux'!CI3),'indicators-aux'!CI3,"")</f>
      </c>
      <c r="CJ3" s="43">
        <f>IF(ISNUMBER('indicators-aux'!CJ3),'indicators-aux'!CJ3,"")</f>
      </c>
      <c r="CK3" s="41">
        <f>IF(ISNUMBER('indicators-aux'!CK3),'indicators-aux'!CK3,"")</f>
      </c>
      <c r="CL3" s="41">
        <f>IF(ISNUMBER('indicators-aux'!CL3),'indicators-aux'!CL3,"")</f>
      </c>
      <c r="CM3" s="41">
        <f>IF(ISNUMBER('indicators-aux'!CM3),'indicators-aux'!CM3,"")</f>
        <v>0.17085421367267364</v>
      </c>
      <c r="CN3" s="43">
        <f>IF(ISNUMBER('indicators-aux'!CN3),'indicators-aux'!CN3,"")</f>
        <v>0.7920694462336311</v>
      </c>
      <c r="CO3" s="38">
        <f>IF(ISNUMBER('indicators-aux'!CO3),'indicators-aux'!CO3,"")</f>
        <v>0.9047416280089547</v>
      </c>
      <c r="CP3" s="43">
        <f>IF(ISNUMBER('indicators-aux'!CP3),'indicators-aux'!CP3,"")</f>
      </c>
      <c r="CQ3" s="45">
        <f>IF(ISNUMBER('indicators-aux'!CQ3),'indicators-aux'!CQ3,"")</f>
      </c>
      <c r="CR3" s="45">
        <f>IF(ISNUMBER('indicators-aux'!CR3),'indicators-aux'!CR3,"")</f>
      </c>
      <c r="CS3" s="45">
        <f>IF(ISNUMBER('indicators-aux'!CS3),'indicators-aux'!CS3,"")</f>
      </c>
      <c r="CT3" s="45">
        <f>IF(ISNUMBER('indicators-aux'!CT3),'indicators-aux'!CT3,"")</f>
      </c>
      <c r="CU3" s="45">
        <f>IF(ISNUMBER('indicators-aux'!CU3),'indicators-aux'!CU3,"")</f>
      </c>
      <c r="CV3" s="45">
        <f>IF(ISNUMBER('indicators-aux'!CV3),'indicators-aux'!CV3,"")</f>
      </c>
      <c r="CW3" s="45">
        <f>IF(ISNUMBER('indicators-aux'!CW3),'indicators-aux'!CW3,"")</f>
      </c>
      <c r="CX3" s="43">
        <f>IF(ISNUMBER('indicators-aux'!CX3),'indicators-aux'!CX3,"")</f>
      </c>
      <c r="CY3" s="45">
        <f>IF(ISNUMBER('indicators-aux'!CY3),'indicators-aux'!CY3,"")</f>
      </c>
      <c r="CZ3" s="45">
        <f>IF(ISNUMBER('indicators-aux'!CZ3),'indicators-aux'!CZ3,"")</f>
      </c>
      <c r="DA3" s="45">
        <f>IF(ISNUMBER('indicators-aux'!DA3),'indicators-aux'!DA3,"")</f>
      </c>
      <c r="DB3" s="45">
        <f>IF(ISNUMBER('indicators-aux'!DB3),'indicators-aux'!DB3,"")</f>
      </c>
      <c r="DC3" s="45">
        <f>IF(ISNUMBER('indicators-aux'!DC3),'indicators-aux'!DC3,"")</f>
      </c>
      <c r="DD3" s="43">
        <f>IF(ISNUMBER('indicators-aux'!DD3),'indicators-aux'!DD3,"")</f>
      </c>
      <c r="DE3" s="46">
        <f>IF(ISNUMBER('indicators-aux'!DE3),'indicators-aux'!DE3,"")</f>
      </c>
      <c r="DF3" s="43">
        <f>IF(ISNUMBER('indicators-aux'!DF3),'indicators-aux'!DF3,"")</f>
      </c>
      <c r="DG3" s="37">
        <f>IF(ISTEXT('indicators-aux'!DG3),'indicators-aux'!DG3,"")</f>
      </c>
      <c r="DH3" s="37">
        <f>IF(ISTEXT('indicators-aux'!DH3),'indicators-aux'!DH3,"")</f>
      </c>
      <c r="DI3" s="37">
        <f>IF(ISTEXT('indicators-aux'!DI3),'indicators-aux'!DI3,"")</f>
      </c>
      <c r="DJ3" s="37">
        <f>IF(ISTEXT('indicators-aux'!DJ3),'indicators-aux'!DJ3,"")</f>
      </c>
      <c r="DK3" s="37">
        <f>IF(ISTEXT('indicators-aux'!DK3),'indicators-aux'!DK3,"")</f>
      </c>
      <c r="DL3" s="37">
        <f>IF(ISTEXT('indicators-aux'!DL3),'indicators-aux'!DL3,"")</f>
      </c>
      <c r="DM3" s="37">
        <f>IF(ISTEXT('indicators-aux'!DM3),'indicators-aux'!DM3,"")</f>
      </c>
      <c r="DN3" s="37">
        <f>IF(ISTEXT('indicators-aux'!DN3),'indicators-aux'!DN3,"")</f>
      </c>
      <c r="DO3" s="37">
        <f>IF(ISTEXT('indicators-aux'!DO3),'indicators-aux'!DO3,"")</f>
      </c>
      <c r="DP3" s="37">
        <f>IF(ISTEXT('indicators-aux'!DP3),'indicators-aux'!DP3,"")</f>
      </c>
      <c r="DQ3" s="37">
        <f>IF(ISTEXT('indicators-aux'!DQ3),'indicators-aux'!DQ3,"")</f>
      </c>
      <c r="DR3" s="37">
        <f>IF(ISTEXT('indicators-aux'!DR3),'indicators-aux'!DR3,"")</f>
      </c>
      <c r="DS3" s="37">
        <f>IF(ISTEXT('indicators-aux'!DS3),'indicators-aux'!DS3,"")</f>
      </c>
      <c r="DT3" s="37">
        <f>IF(ISTEXT('indicators-aux'!DT3),'indicators-aux'!DT3,"")</f>
      </c>
      <c r="DU3" s="37">
        <f>IF(ISTEXT('indicators-aux'!DU3),'indicators-aux'!DU3,"")</f>
      </c>
      <c r="DV3" s="37">
        <f>IF(ISTEXT('indicators-aux'!DV3),'indicators-aux'!DV3,"")</f>
      </c>
      <c r="DW3" s="37">
        <f>IF(ISTEXT('indicators-aux'!DW3),'indicators-aux'!DW3,"")</f>
      </c>
      <c r="DX3" s="37">
        <f>IF(ISTEXT('indicators-aux'!DX3),'indicators-aux'!DX3,"")</f>
      </c>
      <c r="DY3" s="37">
        <f>IF(ISTEXT('indicators-aux'!DY3),'indicators-aux'!DY3,"")</f>
      </c>
      <c r="DZ3" s="37">
        <f>IF(ISTEXT('indicators-aux'!DZ3),'indicators-aux'!DZ3,"")</f>
      </c>
      <c r="EA3" s="47">
        <f>IF(ISTEXT('indicators-aux'!EA3),'indicators-aux'!EA3,"")</f>
      </c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2" customFormat="1" ht="12.75">
      <c r="A4" s="11" t="e">
        <f>'indicators-aux'!A4</f>
        <v>#REF!</v>
      </c>
      <c r="B4" s="2" t="str">
        <f>'indicators-aux'!B4</f>
        <v>Астана</v>
      </c>
      <c r="C4" s="2" t="e">
        <f>'indicators-aux'!C4</f>
        <v>#REF!</v>
      </c>
      <c r="D4" s="2">
        <v>5</v>
      </c>
      <c r="E4" s="1" t="str">
        <f>IF(ISNUMBER('indicators-aux'!E4),'indicators-aux'!E4,"-")</f>
        <v>-</v>
      </c>
      <c r="F4" s="1">
        <f>IF(ISTEXT('indicators-aux'!F4),'indicators-aux'!F4,"")</f>
      </c>
      <c r="G4" s="1">
        <f>IF(ISTEXT('indicators-aux'!G4),'indicators-aux'!G4,"")</f>
      </c>
      <c r="H4" s="1">
        <f>IF(ISTEXT('indicators-aux'!H4),'indicators-aux'!H4,"")</f>
      </c>
      <c r="I4" s="1" t="str">
        <f>IF(ISTEXT('indicators-aux'!I4),'indicators-aux'!I4,"")</f>
        <v>отсутствует</v>
      </c>
      <c r="J4" s="1" t="str">
        <f>IF(ISTEXT('indicators-aux'!J4),'indicators-aux'!J4,"")</f>
        <v>D</v>
      </c>
      <c r="K4" s="1">
        <f>IF(ISNUMBER('indicators-aux'!K4),'indicators-aux'!K4,"")</f>
      </c>
      <c r="L4" s="1">
        <f>IF(ISNUMBER('indicators-aux'!L4),'indicators-aux'!L4,"")</f>
        <v>1</v>
      </c>
      <c r="M4" s="1">
        <f>IF(ISNUMBER('indicators-aux'!M4),'indicators-aux'!M4,"")</f>
      </c>
      <c r="N4" s="1">
        <f>IF(ISNUMBER('indicators-aux'!N4),'indicators-aux'!N4,"")</f>
        <v>14.817813765182187</v>
      </c>
      <c r="O4" s="1">
        <f>IF(ISNUMBER('indicators-aux'!O4),'indicators-aux'!O4,"")</f>
        <v>30</v>
      </c>
      <c r="P4" s="1">
        <f>IF(ISNUMBER('indicators-aux'!P4),'indicators-aux'!P4,"")</f>
        <v>33.30601092896175</v>
      </c>
      <c r="Q4" s="1">
        <f>IF(ISNUMBER('indicators-aux'!Q4),'indicators-aux'!Q4,"")</f>
        <v>33.68421052631579</v>
      </c>
      <c r="R4" s="24">
        <f>IF(ISNUMBER('indicators-aux'!R4),'indicators-aux'!R4,"")</f>
      </c>
      <c r="S4" s="12">
        <f>IF(ISNUMBER('indicators-aux'!S4),'indicators-aux'!S4,"")</f>
        <v>0.49442303792334213</v>
      </c>
      <c r="T4" s="12">
        <f>IF(ISNUMBER('indicators-aux'!T4),'indicators-aux'!T4,"")</f>
        <v>0.25025349827621174</v>
      </c>
      <c r="U4" s="12">
        <f>IF(ISNUMBER('indicators-aux'!U4),'indicators-aux'!U4,"")</f>
        <v>0.07787467045224092</v>
      </c>
      <c r="V4" s="12">
        <f>IF(ISNUMBER('indicators-aux'!V4),'indicators-aux'!V4,"")</f>
        <v>0.46724802271344557</v>
      </c>
      <c r="W4" s="1">
        <f>IF(ISNUMBER('indicators-aux'!W4),'indicators-aux'!W4,"")</f>
        <v>690.9099081888367</v>
      </c>
      <c r="X4" s="1">
        <f>IF(ISNUMBER('indicators-aux'!X4),'indicators-aux'!X4,"")</f>
        <v>699.9316939890709</v>
      </c>
      <c r="Y4" s="1">
        <f>IF(ISNUMBER('indicators-aux'!Y4),'indicators-aux'!Y4,"")</f>
        <v>329.35147830581997</v>
      </c>
      <c r="Z4" s="1">
        <f>IF(ISNUMBER('indicators-aux'!Z4),'indicators-aux'!Z4,"")</f>
        <v>333.6520947176685</v>
      </c>
      <c r="AA4" s="12">
        <f>IF(ISNUMBER('indicators-aux'!AA4),'indicators-aux'!AA4,"")</f>
        <v>0.48553296028388154</v>
      </c>
      <c r="AB4" s="12">
        <f>IF(ISNUMBER('indicators-aux'!AB4),'indicators-aux'!AB4,"")</f>
        <v>0.4466357308584687</v>
      </c>
      <c r="AC4" s="12">
        <f>IF(ISNUMBER('indicators-aux'!AC4),'indicators-aux'!AC4,"")</f>
        <v>0.0678995496110277</v>
      </c>
      <c r="AD4" s="12">
        <f>IF(ISNUMBER('indicators-aux'!AD4),'indicators-aux'!AD4,"")</f>
      </c>
      <c r="AE4" s="1">
        <f>IF(ISNUMBER('indicators-aux'!AE4),'indicators-aux'!AE4,"")</f>
        <v>159.91099823569735</v>
      </c>
      <c r="AF4" s="1">
        <f>IF(ISNUMBER('indicators-aux'!AF4),'indicators-aux'!AF4,"")</f>
        <v>303.05721453786555</v>
      </c>
      <c r="AG4" s="1">
        <f>IF(ISNUMBER('indicators-aux'!AG4),'indicators-aux'!AG4,"")</f>
        <v>41.381278538812786</v>
      </c>
      <c r="AH4" s="12">
        <f>IF(ISNUMBER('indicators-aux'!AH4),'indicators-aux'!AH4,"")</f>
        <v>0.5233076347548876</v>
      </c>
      <c r="AI4" s="1">
        <f>IF(ISNUMBER('indicators-aux'!AI4),'indicators-aux'!AI4,"")</f>
        <v>178.43713604348068</v>
      </c>
      <c r="AJ4" s="25">
        <f>IF(ISNUMBER('indicators-aux'!AJ4),'indicators-aux'!AJ4,"")</f>
        <v>12.042069017142</v>
      </c>
      <c r="AK4" s="12">
        <f>IF(ISNUMBER('indicators-aux'!AK4),'indicators-aux'!AK4,"")</f>
        <v>0.019398907103825132</v>
      </c>
      <c r="AL4" s="12">
        <f>IF(ISNUMBER('indicators-aux'!AL4),'indicators-aux'!AL4,"")</f>
        <v>0.12965743141804284</v>
      </c>
      <c r="AM4" s="25">
        <f>IF(ISNUMBER('indicators-aux'!AM4),'indicators-aux'!AM4,"")</f>
        <v>1.8582995951417005</v>
      </c>
      <c r="AN4" s="1">
        <f>IF(ISNUMBER('indicators-aux'!AN4),'indicators-aux'!AN4,"")</f>
        <v>29.93421052631579</v>
      </c>
      <c r="AO4" s="13">
        <f>IF(ISNUMBER('indicators-aux'!AO4),'indicators-aux'!AO4,"")</f>
      </c>
      <c r="AP4" s="13">
        <f>IF(ISNUMBER('indicators-aux'!AP4),'indicators-aux'!AP4,"")</f>
      </c>
      <c r="AQ4" s="13">
        <f>IF(ISNUMBER('indicators-aux'!AQ4),'indicators-aux'!AQ4,"")</f>
      </c>
      <c r="AR4" s="12">
        <f>IF(ISNUMBER('indicators-aux'!AR4),'indicators-aux'!AR4,"")</f>
        <v>0.5125797127529158</v>
      </c>
      <c r="AS4" s="12">
        <f>IF(ISNUMBER('indicators-aux'!AS4),'indicators-aux'!AS4,"")</f>
        <v>0.34172105816297327</v>
      </c>
      <c r="AT4" s="13">
        <f>IF(ISNUMBER('indicators-aux'!AT4),'indicators-aux'!AT4,"")</f>
      </c>
      <c r="AU4" s="25">
        <f>IF(ISNUMBER('indicators-aux'!AU4),'indicators-aux'!AU4,"")</f>
      </c>
      <c r="AV4" s="25">
        <f>IF(ISNUMBER('indicators-aux'!AV4),'indicators-aux'!AV4,"")</f>
        <v>67.16101694915254</v>
      </c>
      <c r="AW4" s="25">
        <f>IF(ISNUMBER('indicators-aux'!AW4),'indicators-aux'!AW4,"")</f>
      </c>
      <c r="AX4" s="25">
        <f>IF(ISNUMBER('indicators-aux'!AX4),'indicators-aux'!AX4,"")</f>
        <v>2.0054829185997467</v>
      </c>
      <c r="AY4" s="1">
        <f>IF(ISNUMBER('indicators-aux'!AY4),'indicators-aux'!AY4,"")</f>
      </c>
      <c r="AZ4" s="1">
        <f>IF(ISNUMBER('indicators-aux'!AZ4),'indicators-aux'!AZ4,"")</f>
      </c>
      <c r="BA4" s="12">
        <f>IF(ISNUMBER('indicators-aux'!BA4),'indicators-aux'!BA4,"")</f>
      </c>
      <c r="BB4" s="12">
        <f>IF(ISNUMBER('indicators-aux'!BB4),'indicators-aux'!BB4,"")</f>
      </c>
      <c r="BC4" s="12">
        <f>IF(ISNUMBER('indicators-aux'!BC4),'indicators-aux'!BC4,"")</f>
        <v>0.3196570430270789</v>
      </c>
      <c r="BD4" s="12">
        <f>IF(ISNUMBER('indicators-aux'!BD4),'indicators-aux'!BD4,"")</f>
        <v>0.2277157321076658</v>
      </c>
      <c r="BE4" s="12">
        <f>IF(ISNUMBER('indicators-aux'!BE4),'indicators-aux'!BE4,"")</f>
        <v>0</v>
      </c>
      <c r="BF4" s="1">
        <f>IF(ISNUMBER('indicators-aux'!BF4),'indicators-aux'!BF4,"")</f>
      </c>
      <c r="BG4" s="12">
        <f>IF(ISNUMBER('indicators-aux'!BG4),'indicators-aux'!BG4,"")</f>
      </c>
      <c r="BH4" s="12">
        <f>IF(ISNUMBER('indicators-aux'!BH4),'indicators-aux'!BH4,"")</f>
      </c>
      <c r="BI4" s="12">
        <f>IF(ISNUMBER('indicators-aux'!BI4),'indicators-aux'!BI4,"")</f>
      </c>
      <c r="BJ4" s="12">
        <f>IF(ISNUMBER('indicators-aux'!BJ4),'indicators-aux'!BJ4,"")</f>
      </c>
      <c r="BK4" s="12">
        <f>IF(ISNUMBER('indicators-aux'!BK4),'indicators-aux'!BK4,"")</f>
        <v>2</v>
      </c>
      <c r="BL4" s="12">
        <f>IF(ISNUMBER('indicators-aux'!BL4),'indicators-aux'!BL4,"")</f>
        <v>1</v>
      </c>
      <c r="BM4" s="12">
        <f>IF(ISNUMBER('indicators-aux'!BM4),'indicators-aux'!BM4,"")</f>
        <v>1</v>
      </c>
      <c r="BN4" s="13">
        <f>IF(ISNUMBER('indicators-aux'!BN4),'indicators-aux'!BN4,"")</f>
      </c>
      <c r="BO4" s="13">
        <f>IF(ISNUMBER('indicators-aux'!BO4),'indicators-aux'!BO4,"")</f>
      </c>
      <c r="BP4" s="13">
        <f>IF(ISNUMBER('indicators-aux'!BP4),'indicators-aux'!BP4,"")</f>
      </c>
      <c r="BQ4" s="12">
        <f>IF(ISNUMBER('indicators-aux'!BQ4),'indicators-aux'!BQ4,"")</f>
        <v>0.6773168936147392</v>
      </c>
      <c r="BR4" s="12">
        <f>IF(ISNUMBER('indicators-aux'!BR4),'indicators-aux'!BR4,"")</f>
        <v>0.3226831063852608</v>
      </c>
      <c r="BS4" s="12">
        <f>IF(ISNUMBER('indicators-aux'!BS4),'indicators-aux'!BS4,"")</f>
        <v>0.48379898723425696</v>
      </c>
      <c r="BT4" s="12">
        <f>IF(ISNUMBER('indicators-aux'!BT4),'indicators-aux'!BT4,"")</f>
        <v>0.3958963912572475</v>
      </c>
      <c r="BU4" s="12">
        <f>IF(ISNUMBER('indicators-aux'!BU4),'indicators-aux'!BU4,"")</f>
        <v>0.1203046215084955</v>
      </c>
      <c r="BV4" s="12">
        <f>IF(ISNUMBER('indicators-aux'!BV4),'indicators-aux'!BV4,"")</f>
        <v>0</v>
      </c>
      <c r="BW4" s="1">
        <f>IF(ISNUMBER('indicators-aux'!BW4),'indicators-aux'!BW4,"")</f>
      </c>
      <c r="BX4" s="12">
        <f>IF(ISNUMBER('indicators-aux'!BX4),'indicators-aux'!BX4,"")</f>
      </c>
      <c r="BY4" s="13">
        <f>IF(ISNUMBER('indicators-aux'!BY4),'indicators-aux'!BY4,"")</f>
      </c>
      <c r="BZ4" s="13">
        <f>IF(ISNUMBER('indicators-aux'!BZ4),'indicators-aux'!BZ4,"")</f>
      </c>
      <c r="CA4" s="12">
        <f>IF(ISNUMBER('indicators-aux'!CA4),'indicators-aux'!CA4,"")</f>
      </c>
      <c r="CB4" s="12">
        <f>IF(ISNUMBER('indicators-aux'!CB4),'indicators-aux'!CB4,"")</f>
      </c>
      <c r="CC4" s="12">
        <f>IF(ISNUMBER('indicators-aux'!CC4),'indicators-aux'!CC4,"")</f>
      </c>
      <c r="CD4" s="12">
        <f>IF(ISNUMBER('indicators-aux'!CD4),'indicators-aux'!CD4,"")</f>
      </c>
      <c r="CE4" s="12">
        <f>IF(ISNUMBER('indicators-aux'!CE4),'indicators-aux'!CE4,"")</f>
      </c>
      <c r="CF4" s="14">
        <f>IF(ISNUMBER('indicators-aux'!CF4),'indicators-aux'!CF4,"")</f>
        <v>0.9088035115583594</v>
      </c>
      <c r="CG4" s="14">
        <f>IF(ISNUMBER('indicators-aux'!CG4),'indicators-aux'!CG4,"")</f>
        <v>0.8895735095566623</v>
      </c>
      <c r="CH4" s="14">
        <f>IF(ISNUMBER('indicators-aux'!CH4),'indicators-aux'!CH4,"")</f>
        <v>0.9948603822144123</v>
      </c>
      <c r="CI4" s="13">
        <f>IF(ISNUMBER('indicators-aux'!CI4),'indicators-aux'!CI4,"")</f>
      </c>
      <c r="CJ4" s="12">
        <f>IF(ISNUMBER('indicators-aux'!CJ4),'indicators-aux'!CJ4,"")</f>
      </c>
      <c r="CK4" s="1">
        <f>IF(ISNUMBER('indicators-aux'!CK4),'indicators-aux'!CK4,"")</f>
      </c>
      <c r="CL4" s="1">
        <f>IF(ISNUMBER('indicators-aux'!CL4),'indicators-aux'!CL4,"")</f>
      </c>
      <c r="CM4" s="1">
        <f>IF(ISNUMBER('indicators-aux'!CM4),'indicators-aux'!CM4,"")</f>
        <v>0.18191009346067774</v>
      </c>
      <c r="CN4" s="12">
        <f>IF(ISNUMBER('indicators-aux'!CN4),'indicators-aux'!CN4,"")</f>
        <v>0.7816642533627806</v>
      </c>
      <c r="CO4" s="14">
        <f>IF(ISNUMBER('indicators-aux'!CO4),'indicators-aux'!CO4,"")</f>
        <v>1.025286890930835</v>
      </c>
      <c r="CP4" s="12">
        <f>IF(ISNUMBER('indicators-aux'!CP4),'indicators-aux'!CP4,"")</f>
      </c>
      <c r="CQ4" s="13">
        <f>IF(ISNUMBER('indicators-aux'!CQ4),'indicators-aux'!CQ4,"")</f>
      </c>
      <c r="CR4" s="13">
        <f>IF(ISNUMBER('indicators-aux'!CR4),'indicators-aux'!CR4,"")</f>
      </c>
      <c r="CS4" s="13">
        <f>IF(ISNUMBER('indicators-aux'!CS4),'indicators-aux'!CS4,"")</f>
      </c>
      <c r="CT4" s="13">
        <f>IF(ISNUMBER('indicators-aux'!CT4),'indicators-aux'!CT4,"")</f>
      </c>
      <c r="CU4" s="13">
        <f>IF(ISNUMBER('indicators-aux'!CU4),'indicators-aux'!CU4,"")</f>
      </c>
      <c r="CV4" s="13">
        <f>IF(ISNUMBER('indicators-aux'!CV4),'indicators-aux'!CV4,"")</f>
      </c>
      <c r="CW4" s="13">
        <f>IF(ISNUMBER('indicators-aux'!CW4),'indicators-aux'!CW4,"")</f>
      </c>
      <c r="CX4" s="12">
        <f>IF(ISNUMBER('indicators-aux'!CX4),'indicators-aux'!CX4,"")</f>
      </c>
      <c r="CY4" s="13">
        <f>IF(ISNUMBER('indicators-aux'!CY4),'indicators-aux'!CY4,"")</f>
      </c>
      <c r="CZ4" s="13">
        <f>IF(ISNUMBER('indicators-aux'!CZ4),'indicators-aux'!CZ4,"")</f>
      </c>
      <c r="DA4" s="13">
        <f>IF(ISNUMBER('indicators-aux'!DA4),'indicators-aux'!DA4,"")</f>
      </c>
      <c r="DB4" s="13">
        <f>IF(ISNUMBER('indicators-aux'!DB4),'indicators-aux'!DB4,"")</f>
      </c>
      <c r="DC4" s="13">
        <f>IF(ISNUMBER('indicators-aux'!DC4),'indicators-aux'!DC4,"")</f>
      </c>
      <c r="DD4" s="12">
        <f>IF(ISNUMBER('indicators-aux'!DD4),'indicators-aux'!DD4,"")</f>
      </c>
      <c r="DE4" s="27">
        <f>IF(ISNUMBER('indicators-aux'!DE4),'indicators-aux'!DE4,"")</f>
      </c>
      <c r="DF4" s="12">
        <f>IF(ISNUMBER('indicators-aux'!DF4),'indicators-aux'!DF4,"")</f>
      </c>
      <c r="DG4" s="2">
        <f>IF(ISTEXT('indicators-aux'!DG4),'indicators-aux'!DG4,"")</f>
      </c>
      <c r="DH4" s="2">
        <f>IF(ISTEXT('indicators-aux'!DH4),'indicators-aux'!DH4,"")</f>
      </c>
      <c r="DI4" s="2">
        <f>IF(ISTEXT('indicators-aux'!DI4),'indicators-aux'!DI4,"")</f>
      </c>
      <c r="DJ4" s="2">
        <f>IF(ISTEXT('indicators-aux'!DJ4),'indicators-aux'!DJ4,"")</f>
      </c>
      <c r="DK4" s="2">
        <f>IF(ISTEXT('indicators-aux'!DK4),'indicators-aux'!DK4,"")</f>
      </c>
      <c r="DL4" s="2">
        <f>IF(ISTEXT('indicators-aux'!DL4),'indicators-aux'!DL4,"")</f>
      </c>
      <c r="DM4" s="2">
        <f>IF(ISTEXT('indicators-aux'!DM4),'indicators-aux'!DM4,"")</f>
      </c>
      <c r="DN4" s="2">
        <f>IF(ISTEXT('indicators-aux'!DN4),'indicators-aux'!DN4,"")</f>
      </c>
      <c r="DO4" s="2">
        <f>IF(ISTEXT('indicators-aux'!DO4),'indicators-aux'!DO4,"")</f>
      </c>
      <c r="DP4" s="2">
        <f>IF(ISTEXT('indicators-aux'!DP4),'indicators-aux'!DP4,"")</f>
      </c>
      <c r="DQ4" s="2">
        <f>IF(ISTEXT('indicators-aux'!DQ4),'indicators-aux'!DQ4,"")</f>
      </c>
      <c r="DR4" s="2">
        <f>IF(ISTEXT('indicators-aux'!DR4),'indicators-aux'!DR4,"")</f>
      </c>
      <c r="DS4" s="2">
        <f>IF(ISTEXT('indicators-aux'!DS4),'indicators-aux'!DS4,"")</f>
      </c>
      <c r="DT4" s="2">
        <f>IF(ISTEXT('indicators-aux'!DT4),'indicators-aux'!DT4,"")</f>
      </c>
      <c r="DU4" s="2">
        <f>IF(ISTEXT('indicators-aux'!DU4),'indicators-aux'!DU4,"")</f>
      </c>
      <c r="DV4" s="2">
        <f>IF(ISTEXT('indicators-aux'!DV4),'indicators-aux'!DV4,"")</f>
      </c>
      <c r="DW4" s="2">
        <f>IF(ISTEXT('indicators-aux'!DW4),'indicators-aux'!DW4,"")</f>
      </c>
      <c r="DX4" s="2">
        <f>IF(ISTEXT('indicators-aux'!DX4),'indicators-aux'!DX4,"")</f>
      </c>
      <c r="DY4" s="2">
        <f>IF(ISTEXT('indicators-aux'!DY4),'indicators-aux'!DY4,"")</f>
      </c>
      <c r="DZ4" s="2">
        <f>IF(ISTEXT('indicators-aux'!DZ4),'indicators-aux'!DZ4,"")</f>
      </c>
      <c r="EA4" s="48">
        <f>IF(ISTEXT('indicators-aux'!EA4),'indicators-aux'!EA4,"")</f>
      </c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2" customFormat="1" ht="12.75">
      <c r="A5" s="11" t="e">
        <f>'indicators-aux'!A5</f>
        <v>#REF!</v>
      </c>
      <c r="B5" s="2" t="str">
        <f>'indicators-aux'!B5</f>
        <v>Астана</v>
      </c>
      <c r="C5" s="2" t="e">
        <f>'indicators-aux'!C5</f>
        <v>#REF!</v>
      </c>
      <c r="D5" s="2">
        <v>5</v>
      </c>
      <c r="E5" s="1" t="str">
        <f>IF(ISNUMBER('indicators-aux'!E5),'indicators-aux'!E5,"-")</f>
        <v>-</v>
      </c>
      <c r="F5" s="1">
        <f>IF(ISTEXT('indicators-aux'!F5),'indicators-aux'!F5,"")</f>
      </c>
      <c r="G5" s="1">
        <f>IF(ISTEXT('indicators-aux'!G5),'indicators-aux'!G5,"")</f>
      </c>
      <c r="H5" s="1">
        <f>IF(ISTEXT('indicators-aux'!H5),'indicators-aux'!H5,"")</f>
      </c>
      <c r="I5" s="1" t="str">
        <f>IF(ISTEXT('indicators-aux'!I5),'indicators-aux'!I5,"")</f>
        <v>отсутствует</v>
      </c>
      <c r="J5" s="1" t="str">
        <f>IF(ISTEXT('indicators-aux'!J5),'indicators-aux'!J5,"")</f>
        <v>D</v>
      </c>
      <c r="K5" s="1">
        <f>IF(ISNUMBER('indicators-aux'!K5),'indicators-aux'!K5,"")</f>
      </c>
      <c r="L5" s="1">
        <f>IF(ISNUMBER('indicators-aux'!L5),'indicators-aux'!L5,"")</f>
        <v>1</v>
      </c>
      <c r="M5" s="1">
        <f>IF(ISNUMBER('indicators-aux'!M5),'indicators-aux'!M5,"")</f>
      </c>
      <c r="N5" s="1">
        <f>IF(ISNUMBER('indicators-aux'!N5),'indicators-aux'!N5,"")</f>
        <v>13.743589743589743</v>
      </c>
      <c r="O5" s="1">
        <f>IF(ISNUMBER('indicators-aux'!O5),'indicators-aux'!O5,"")</f>
        <v>28.97119341563786</v>
      </c>
      <c r="P5" s="1">
        <f>IF(ISNUMBER('indicators-aux'!P5),'indicators-aux'!P5,"")</f>
        <v>31.181592039800996</v>
      </c>
      <c r="Q5" s="1">
        <f>IF(ISNUMBER('indicators-aux'!Q5),'indicators-aux'!Q5,"")</f>
        <v>34.97159090909091</v>
      </c>
      <c r="R5" s="24">
        <f>IF(ISNUMBER('indicators-aux'!R5),'indicators-aux'!R5,"")</f>
      </c>
      <c r="S5" s="12">
        <f>IF(ISNUMBER('indicators-aux'!S5),'indicators-aux'!S5,"")</f>
      </c>
      <c r="T5" s="12">
        <f>IF(ISNUMBER('indicators-aux'!T5),'indicators-aux'!T5,"")</f>
      </c>
      <c r="U5" s="12">
        <f>IF(ISNUMBER('indicators-aux'!U5),'indicators-aux'!U5,"")</f>
      </c>
      <c r="V5" s="12">
        <f>IF(ISNUMBER('indicators-aux'!V5),'indicators-aux'!V5,"")</f>
      </c>
      <c r="W5" s="1">
        <f>IF(ISNUMBER('indicators-aux'!W5),'indicators-aux'!W5,"")</f>
        <v>674.1452699564508</v>
      </c>
      <c r="X5" s="1">
        <f>IF(ISNUMBER('indicators-aux'!X5),'indicators-aux'!X5,"")</f>
        <v>639.3864013267</v>
      </c>
      <c r="Y5" s="1">
        <f>IF(ISNUMBER('indicators-aux'!Y5),'indicators-aux'!Y5,"")</f>
        <v>318.1229543579348</v>
      </c>
      <c r="Z5" s="1">
        <f>IF(ISNUMBER('indicators-aux'!Z5),'indicators-aux'!Z5,"")</f>
        <v>301.72056384742956</v>
      </c>
      <c r="AA5" s="12">
        <f>IF(ISNUMBER('indicators-aux'!AA5),'indicators-aux'!AA5,"")</f>
        <v>0.4816214359326692</v>
      </c>
      <c r="AB5" s="12">
        <f>IF(ISNUMBER('indicators-aux'!AB5),'indicators-aux'!AB5,"")</f>
        <v>0.44211611130195805</v>
      </c>
      <c r="AC5" s="12">
        <f>IF(ISNUMBER('indicators-aux'!AC5),'indicators-aux'!AC5,"")</f>
        <v>0.07626245276537273</v>
      </c>
      <c r="AD5" s="12">
        <f>IF(ISNUMBER('indicators-aux'!AD5),'indicators-aux'!AD5,"")</f>
      </c>
      <c r="AE5" s="1">
        <f>IF(ISNUMBER('indicators-aux'!AE5),'indicators-aux'!AE5,"")</f>
        <v>153.21483408101153</v>
      </c>
      <c r="AF5" s="1">
        <f>IF(ISNUMBER('indicators-aux'!AF5),'indicators-aux'!AF5,"")</f>
        <v>225.25889655056565</v>
      </c>
      <c r="AG5" s="1">
        <f>IF(ISNUMBER('indicators-aux'!AG5),'indicators-aux'!AG5,"")</f>
        <v>39.60267480360968</v>
      </c>
      <c r="AH5" s="12">
        <f>IF(ISNUMBER('indicators-aux'!AH5),'indicators-aux'!AH5,"")</f>
        <v>0.5281091946569836</v>
      </c>
      <c r="AI5" s="1">
        <f>IF(ISNUMBER('indicators-aux'!AI5),'indicators-aux'!AI5,"")</f>
        <v>152.572298325723</v>
      </c>
      <c r="AJ5" s="25">
        <f>IF(ISNUMBER('indicators-aux'!AJ5),'indicators-aux'!AJ5,"")</f>
        <v>11.101342602058205</v>
      </c>
      <c r="AK5" s="12">
        <f>IF(ISNUMBER('indicators-aux'!AK5),'indicators-aux'!AK5,"")</f>
        <v>0.021393034825870648</v>
      </c>
      <c r="AL5" s="12">
        <f>IF(ISNUMBER('indicators-aux'!AL5),'indicators-aux'!AL5,"")</f>
        <v>0.1453108897286156</v>
      </c>
      <c r="AM5" s="25">
        <f>IF(ISNUMBER('indicators-aux'!AM5),'indicators-aux'!AM5,"")</f>
        <v>1.406837606837607</v>
      </c>
      <c r="AN5" s="1">
        <f>IF(ISNUMBER('indicators-aux'!AN5),'indicators-aux'!AN5,"")</f>
        <v>30.279835390946502</v>
      </c>
      <c r="AO5" s="13">
        <f>IF(ISNUMBER('indicators-aux'!AO5),'indicators-aux'!AO5,"")</f>
      </c>
      <c r="AP5" s="13">
        <f>IF(ISNUMBER('indicators-aux'!AP5),'indicators-aux'!AP5,"")</f>
      </c>
      <c r="AQ5" s="13">
        <f>IF(ISNUMBER('indicators-aux'!AQ5),'indicators-aux'!AQ5,"")</f>
      </c>
      <c r="AR5" s="12">
        <f>IF(ISNUMBER('indicators-aux'!AR5),'indicators-aux'!AR5,"")</f>
        <v>0.48968460364163746</v>
      </c>
      <c r="AS5" s="12">
        <f>IF(ISNUMBER('indicators-aux'!AS5),'indicators-aux'!AS5,"")</f>
        <v>0.3264567414433317</v>
      </c>
      <c r="AT5" s="13">
        <f>IF(ISNUMBER('indicators-aux'!AT5),'indicators-aux'!AT5,"")</f>
      </c>
      <c r="AU5" s="25">
        <f>IF(ISNUMBER('indicators-aux'!AU5),'indicators-aux'!AU5,"")</f>
      </c>
      <c r="AV5" s="25">
        <f>IF(ISNUMBER('indicators-aux'!AV5),'indicators-aux'!AV5,"")</f>
        <v>62.931034482758626</v>
      </c>
      <c r="AW5" s="25">
        <f>IF(ISNUMBER('indicators-aux'!AW5),'indicators-aux'!AW5,"")</f>
      </c>
      <c r="AX5" s="25">
        <f>IF(ISNUMBER('indicators-aux'!AX5),'indicators-aux'!AX5,"")</f>
        <v>1.9098410142885893</v>
      </c>
      <c r="AY5" s="1">
        <f>IF(ISNUMBER('indicators-aux'!AY5),'indicators-aux'!AY5,"")</f>
      </c>
      <c r="AZ5" s="1">
        <f>IF(ISNUMBER('indicators-aux'!AZ5),'indicators-aux'!AZ5,"")</f>
      </c>
      <c r="BA5" s="12">
        <f>IF(ISNUMBER('indicators-aux'!BA5),'indicators-aux'!BA5,"")</f>
      </c>
      <c r="BB5" s="12">
        <f>IF(ISNUMBER('indicators-aux'!BB5),'indicators-aux'!BB5,"")</f>
      </c>
      <c r="BC5" s="12">
        <f>IF(ISNUMBER('indicators-aux'!BC5),'indicators-aux'!BC5,"")</f>
        <v>0.3194187781404114</v>
      </c>
      <c r="BD5" s="12">
        <f>IF(ISNUMBER('indicators-aux'!BD5),'indicators-aux'!BD5,"")</f>
        <v>0.20265571239546032</v>
      </c>
      <c r="BE5" s="12">
        <f>IF(ISNUMBER('indicators-aux'!BE5),'indicators-aux'!BE5,"")</f>
        <v>0</v>
      </c>
      <c r="BF5" s="1">
        <f>IF(ISNUMBER('indicators-aux'!BF5),'indicators-aux'!BF5,"")</f>
      </c>
      <c r="BG5" s="12">
        <f>IF(ISNUMBER('indicators-aux'!BG5),'indicators-aux'!BG5,"")</f>
      </c>
      <c r="BH5" s="12">
        <f>IF(ISNUMBER('indicators-aux'!BH5),'indicators-aux'!BH5,"")</f>
      </c>
      <c r="BI5" s="12">
        <f>IF(ISNUMBER('indicators-aux'!BI5),'indicators-aux'!BI5,"")</f>
      </c>
      <c r="BJ5" s="12">
        <f>IF(ISNUMBER('indicators-aux'!BJ5),'indicators-aux'!BJ5,"")</f>
      </c>
      <c r="BK5" s="12">
        <f>IF(ISNUMBER('indicators-aux'!BK5),'indicators-aux'!BK5,"")</f>
        <v>2</v>
      </c>
      <c r="BL5" s="12">
        <f>IF(ISNUMBER('indicators-aux'!BL5),'indicators-aux'!BL5,"")</f>
        <v>1</v>
      </c>
      <c r="BM5" s="12">
        <f>IF(ISNUMBER('indicators-aux'!BM5),'indicators-aux'!BM5,"")</f>
        <v>1</v>
      </c>
      <c r="BN5" s="13">
        <f>IF(ISNUMBER('indicators-aux'!BN5),'indicators-aux'!BN5,"")</f>
      </c>
      <c r="BO5" s="13">
        <f>IF(ISNUMBER('indicators-aux'!BO5),'indicators-aux'!BO5,"")</f>
      </c>
      <c r="BP5" s="13">
        <f>IF(ISNUMBER('indicators-aux'!BP5),'indicators-aux'!BP5,"")</f>
      </c>
      <c r="BQ5" s="12">
        <f>IF(ISNUMBER('indicators-aux'!BQ5),'indicators-aux'!BQ5,"")</f>
        <v>0.6715056220682204</v>
      </c>
      <c r="BR5" s="12">
        <f>IF(ISNUMBER('indicators-aux'!BR5),'indicators-aux'!BR5,"")</f>
        <v>0.32849437793177966</v>
      </c>
      <c r="BS5" s="12">
        <f>IF(ISNUMBER('indicators-aux'!BS5),'indicators-aux'!BS5,"")</f>
        <v>0.4815712497212623</v>
      </c>
      <c r="BT5" s="12">
        <f>IF(ISNUMBER('indicators-aux'!BT5),'indicators-aux'!BT5,"")</f>
        <v>0.40975385095222616</v>
      </c>
      <c r="BU5" s="12">
        <f>IF(ISNUMBER('indicators-aux'!BU5),'indicators-aux'!BU5,"")</f>
        <v>0.10867489932651149</v>
      </c>
      <c r="BV5" s="12">
        <f>IF(ISNUMBER('indicators-aux'!BV5),'indicators-aux'!BV5,"")</f>
        <v>0</v>
      </c>
      <c r="BW5" s="1">
        <f>IF(ISNUMBER('indicators-aux'!BW5),'indicators-aux'!BW5,"")</f>
      </c>
      <c r="BX5" s="12">
        <f>IF(ISNUMBER('indicators-aux'!BX5),'indicators-aux'!BX5,"")</f>
      </c>
      <c r="BY5" s="13">
        <f>IF(ISNUMBER('indicators-aux'!BY5),'indicators-aux'!BY5,"")</f>
      </c>
      <c r="BZ5" s="13">
        <f>IF(ISNUMBER('indicators-aux'!BZ5),'indicators-aux'!BZ5,"")</f>
      </c>
      <c r="CA5" s="12">
        <f>IF(ISNUMBER('indicators-aux'!CA5),'indicators-aux'!CA5,"")</f>
      </c>
      <c r="CB5" s="12">
        <f>IF(ISNUMBER('indicators-aux'!CB5),'indicators-aux'!CB5,"")</f>
      </c>
      <c r="CC5" s="12">
        <f>IF(ISNUMBER('indicators-aux'!CC5),'indicators-aux'!CC5,"")</f>
      </c>
      <c r="CD5" s="12">
        <f>IF(ISNUMBER('indicators-aux'!CD5),'indicators-aux'!CD5,"")</f>
      </c>
      <c r="CE5" s="12">
        <f>IF(ISNUMBER('indicators-aux'!CE5),'indicators-aux'!CE5,"")</f>
      </c>
      <c r="CF5" s="14">
        <f>IF(ISNUMBER('indicators-aux'!CF5),'indicators-aux'!CF5,"")</f>
        <v>0.8801959360242839</v>
      </c>
      <c r="CG5" s="14">
        <f>IF(ISNUMBER('indicators-aux'!CG5),'indicators-aux'!CG5,"")</f>
        <v>0.9268980305116131</v>
      </c>
      <c r="CH5" s="14">
        <f>IF(ISNUMBER('indicators-aux'!CH5),'indicators-aux'!CH5,"")</f>
        <v>0.783278110867356</v>
      </c>
      <c r="CI5" s="13">
        <f>IF(ISNUMBER('indicators-aux'!CI5),'indicators-aux'!CI5,"")</f>
      </c>
      <c r="CJ5" s="12">
        <f>IF(ISNUMBER('indicators-aux'!CJ5),'indicators-aux'!CJ5,"")</f>
      </c>
      <c r="CK5" s="1">
        <f>IF(ISNUMBER('indicators-aux'!CK5),'indicators-aux'!CK5,"")</f>
      </c>
      <c r="CL5" s="1">
        <f>IF(ISNUMBER('indicators-aux'!CL5),'indicators-aux'!CL5,"")</f>
      </c>
      <c r="CM5" s="1">
        <f>IF(ISNUMBER('indicators-aux'!CM5),'indicators-aux'!CM5,"")</f>
        <v>0.12802793564544906</v>
      </c>
      <c r="CN5" s="12">
        <f>IF(ISNUMBER('indicators-aux'!CN5),'indicators-aux'!CN5,"")</f>
        <v>0.8017111365787251</v>
      </c>
      <c r="CO5" s="14">
        <f>IF(ISNUMBER('indicators-aux'!CO5),'indicators-aux'!CO5,"")</f>
        <v>1.0391949464982573</v>
      </c>
      <c r="CP5" s="12">
        <f>IF(ISNUMBER('indicators-aux'!CP5),'indicators-aux'!CP5,"")</f>
      </c>
      <c r="CQ5" s="13">
        <f>IF(ISNUMBER('indicators-aux'!CQ5),'indicators-aux'!CQ5,"")</f>
      </c>
      <c r="CR5" s="13">
        <f>IF(ISNUMBER('indicators-aux'!CR5),'indicators-aux'!CR5,"")</f>
      </c>
      <c r="CS5" s="13">
        <f>IF(ISNUMBER('indicators-aux'!CS5),'indicators-aux'!CS5,"")</f>
      </c>
      <c r="CT5" s="13">
        <f>IF(ISNUMBER('indicators-aux'!CT5),'indicators-aux'!CT5,"")</f>
      </c>
      <c r="CU5" s="13">
        <f>IF(ISNUMBER('indicators-aux'!CU5),'indicators-aux'!CU5,"")</f>
      </c>
      <c r="CV5" s="13">
        <f>IF(ISNUMBER('indicators-aux'!CV5),'indicators-aux'!CV5,"")</f>
      </c>
      <c r="CW5" s="13">
        <f>IF(ISNUMBER('indicators-aux'!CW5),'indicators-aux'!CW5,"")</f>
      </c>
      <c r="CX5" s="12">
        <f>IF(ISNUMBER('indicators-aux'!CX5),'indicators-aux'!CX5,"")</f>
      </c>
      <c r="CY5" s="13">
        <f>IF(ISNUMBER('indicators-aux'!CY5),'indicators-aux'!CY5,"")</f>
      </c>
      <c r="CZ5" s="13">
        <f>IF(ISNUMBER('indicators-aux'!CZ5),'indicators-aux'!CZ5,"")</f>
      </c>
      <c r="DA5" s="13">
        <f>IF(ISNUMBER('indicators-aux'!DA5),'indicators-aux'!DA5,"")</f>
      </c>
      <c r="DB5" s="13">
        <f>IF(ISNUMBER('indicators-aux'!DB5),'indicators-aux'!DB5,"")</f>
      </c>
      <c r="DC5" s="13">
        <f>IF(ISNUMBER('indicators-aux'!DC5),'indicators-aux'!DC5,"")</f>
      </c>
      <c r="DD5" s="12">
        <f>IF(ISNUMBER('indicators-aux'!DD5),'indicators-aux'!DD5,"")</f>
      </c>
      <c r="DE5" s="27">
        <f>IF(ISNUMBER('indicators-aux'!DE5),'indicators-aux'!DE5,"")</f>
      </c>
      <c r="DF5" s="12">
        <f>IF(ISNUMBER('indicators-aux'!DF5),'indicators-aux'!DF5,"")</f>
      </c>
      <c r="DG5" s="2">
        <f>IF(ISTEXT('indicators-aux'!DG5),'indicators-aux'!DG5,"")</f>
      </c>
      <c r="DH5" s="2">
        <f>IF(ISTEXT('indicators-aux'!DH5),'indicators-aux'!DH5,"")</f>
      </c>
      <c r="DI5" s="2">
        <f>IF(ISTEXT('indicators-aux'!DI5),'indicators-aux'!DI5,"")</f>
      </c>
      <c r="DJ5" s="2">
        <f>IF(ISTEXT('indicators-aux'!DJ5),'indicators-aux'!DJ5,"")</f>
      </c>
      <c r="DK5" s="2">
        <f>IF(ISTEXT('indicators-aux'!DK5),'indicators-aux'!DK5,"")</f>
      </c>
      <c r="DL5" s="2">
        <f>IF(ISTEXT('indicators-aux'!DL5),'indicators-aux'!DL5,"")</f>
      </c>
      <c r="DM5" s="2">
        <f>IF(ISTEXT('indicators-aux'!DM5),'indicators-aux'!DM5,"")</f>
      </c>
      <c r="DN5" s="2">
        <f>IF(ISTEXT('indicators-aux'!DN5),'indicators-aux'!DN5,"")</f>
      </c>
      <c r="DO5" s="2">
        <f>IF(ISTEXT('indicators-aux'!DO5),'indicators-aux'!DO5,"")</f>
      </c>
      <c r="DP5" s="2">
        <f>IF(ISTEXT('indicators-aux'!DP5),'indicators-aux'!DP5,"")</f>
      </c>
      <c r="DQ5" s="2">
        <f>IF(ISTEXT('indicators-aux'!DQ5),'indicators-aux'!DQ5,"")</f>
      </c>
      <c r="DR5" s="2">
        <f>IF(ISTEXT('indicators-aux'!DR5),'indicators-aux'!DR5,"")</f>
      </c>
      <c r="DS5" s="2">
        <f>IF(ISTEXT('indicators-aux'!DS5),'indicators-aux'!DS5,"")</f>
      </c>
      <c r="DT5" s="2">
        <f>IF(ISTEXT('indicators-aux'!DT5),'indicators-aux'!DT5,"")</f>
      </c>
      <c r="DU5" s="2">
        <f>IF(ISTEXT('indicators-aux'!DU5),'indicators-aux'!DU5,"")</f>
      </c>
      <c r="DV5" s="2">
        <f>IF(ISTEXT('indicators-aux'!DV5),'indicators-aux'!DV5,"")</f>
      </c>
      <c r="DW5" s="2">
        <f>IF(ISTEXT('indicators-aux'!DW5),'indicators-aux'!DW5,"")</f>
      </c>
      <c r="DX5" s="2">
        <f>IF(ISTEXT('indicators-aux'!DX5),'indicators-aux'!DX5,"")</f>
      </c>
      <c r="DY5" s="2">
        <f>IF(ISTEXT('indicators-aux'!DY5),'indicators-aux'!DY5,"")</f>
      </c>
      <c r="DZ5" s="2">
        <f>IF(ISTEXT('indicators-aux'!DZ5),'indicators-aux'!DZ5,"")</f>
      </c>
      <c r="EA5" s="48">
        <f>IF(ISTEXT('indicators-aux'!EA5),'indicators-aux'!EA5,"")</f>
      </c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2" customFormat="1" ht="12.75">
      <c r="A6" s="11" t="e">
        <f>'indicators-aux'!A6</f>
        <v>#REF!</v>
      </c>
      <c r="B6" s="2">
        <f>'indicators-aux'!B6</f>
        <v>0</v>
      </c>
      <c r="C6" s="2" t="e">
        <f>'indicators-aux'!C6</f>
        <v>#REF!</v>
      </c>
      <c r="D6" s="2">
        <v>5</v>
      </c>
      <c r="E6" s="1" t="str">
        <f>IF(ISNUMBER('indicators-aux'!E6),'indicators-aux'!E6,"-")</f>
        <v>-</v>
      </c>
      <c r="F6" s="1">
        <f>IF(ISTEXT('indicators-aux'!F6),'indicators-aux'!F6,"")</f>
      </c>
      <c r="G6" s="1">
        <f>IF(ISTEXT('indicators-aux'!G6),'indicators-aux'!G6,"")</f>
      </c>
      <c r="H6" s="1">
        <f>IF(ISTEXT('indicators-aux'!H6),'indicators-aux'!H6,"")</f>
      </c>
      <c r="I6" s="1">
        <f>IF(ISTEXT('indicators-aux'!I6),'indicators-aux'!I6,"")</f>
      </c>
      <c r="J6" s="1">
        <f>IF(ISTEXT('indicators-aux'!J6),'indicators-aux'!J6,"")</f>
      </c>
      <c r="K6" s="1">
        <f>IF(ISNUMBER('indicators-aux'!K6),'indicators-aux'!K6,"")</f>
      </c>
      <c r="L6" s="1">
        <f>IF(ISNUMBER('indicators-aux'!L6),'indicators-aux'!L6,"")</f>
        <v>0</v>
      </c>
      <c r="M6" s="1">
        <f>IF(ISNUMBER('indicators-aux'!M6),'indicators-aux'!M6,"")</f>
      </c>
      <c r="N6" s="1">
        <f>IF(ISNUMBER('indicators-aux'!N6),'indicators-aux'!N6,"")</f>
        <v>14.288135593220337</v>
      </c>
      <c r="O6" s="1">
        <f>IF(ISNUMBER('indicators-aux'!O6),'indicators-aux'!O6,"")</f>
        <v>29.32</v>
      </c>
      <c r="P6" s="1">
        <f>IF(ISNUMBER('indicators-aux'!P6),'indicators-aux'!P6,"")</f>
        <v>30.88967971530249</v>
      </c>
      <c r="Q6" s="1">
        <f>IF(ISNUMBER('indicators-aux'!Q6),'indicators-aux'!Q6,"")</f>
        <v>34.6793997271487</v>
      </c>
      <c r="R6" s="24">
        <f>IF(ISNUMBER('indicators-aux'!R6),'indicators-aux'!R6,"")</f>
      </c>
      <c r="S6" s="12">
        <f>IF(ISNUMBER('indicators-aux'!S6),'indicators-aux'!S6,"")</f>
        <v>0.5187250996015936</v>
      </c>
      <c r="T6" s="12">
        <f>IF(ISNUMBER('indicators-aux'!T6),'indicators-aux'!T6,"")</f>
        <v>0.38326693227091635</v>
      </c>
      <c r="U6" s="12">
        <f>IF(ISNUMBER('indicators-aux'!U6),'indicators-aux'!U6,"")</f>
        <v>0.08824701195219123</v>
      </c>
      <c r="V6" s="12">
        <f>IF(ISNUMBER('indicators-aux'!V6),'indicators-aux'!V6,"")</f>
        <v>0.5063745019920318</v>
      </c>
      <c r="W6" s="1">
        <f>IF(ISNUMBER('indicators-aux'!W6),'indicators-aux'!W6,"")</f>
        <v>623.6559139784946</v>
      </c>
      <c r="X6" s="1">
        <f>IF(ISNUMBER('indicators-aux'!X6),'indicators-aux'!X6,"")</f>
        <v>585.9628311585608</v>
      </c>
      <c r="Y6" s="1">
        <f>IF(ISNUMBER('indicators-aux'!Y6),'indicators-aux'!Y6,"")</f>
        <v>329.5772573280306</v>
      </c>
      <c r="Z6" s="1">
        <f>IF(ISNUMBER('indicators-aux'!Z6),'indicators-aux'!Z6,"")</f>
        <v>309.657967576117</v>
      </c>
      <c r="AA6" s="12">
        <f>IF(ISNUMBER('indicators-aux'!AA6),'indicators-aux'!AA6,"")</f>
        <v>0.47470071827613725</v>
      </c>
      <c r="AB6" s="12">
        <f>IF(ISNUMBER('indicators-aux'!AB6),'indicators-aux'!AB6,"")</f>
        <v>0.4405426975259378</v>
      </c>
      <c r="AC6" s="12">
        <f>IF(ISNUMBER('indicators-aux'!AC6),'indicators-aux'!AC6,"")</f>
        <v>0.08491620111731844</v>
      </c>
      <c r="AD6" s="12">
        <f>IF(ISNUMBER('indicators-aux'!AD6),'indicators-aux'!AD6,"")</f>
        <v>0</v>
      </c>
      <c r="AE6" s="1">
        <f>IF(ISNUMBER('indicators-aux'!AE6),'indicators-aux'!AE6,"")</f>
        <v>156.45056078109548</v>
      </c>
      <c r="AF6" s="1">
        <f>IF(ISNUMBER('indicators-aux'!AF6),'indicators-aux'!AF6,"")</f>
        <v>202.06191439068152</v>
      </c>
      <c r="AG6" s="1">
        <f>IF(ISNUMBER('indicators-aux'!AG6),'indicators-aux'!AG6,"")</f>
        <v>42.054485296391356</v>
      </c>
      <c r="AH6" s="12">
        <f>IF(ISNUMBER('indicators-aux'!AH6),'indicators-aux'!AH6,"")</f>
        <v>0.47153991497401987</v>
      </c>
      <c r="AI6" s="1">
        <f>IF(ISNUMBER('indicators-aux'!AI6),'indicators-aux'!AI6,"")</f>
        <v>129.79335964708616</v>
      </c>
      <c r="AJ6" s="25">
        <f>IF(ISNUMBER('indicators-aux'!AJ6),'indicators-aux'!AJ6,"")</f>
        <v>9.083995515039245</v>
      </c>
      <c r="AK6" s="12">
        <f>IF(ISNUMBER('indicators-aux'!AK6),'indicators-aux'!AK6,"")</f>
        <v>0.030011862396204035</v>
      </c>
      <c r="AL6" s="12">
        <f>IF(ISNUMBER('indicators-aux'!AL6),'indicators-aux'!AL6,"")</f>
        <v>0.1564245810055866</v>
      </c>
      <c r="AM6" s="25">
        <f>IF(ISNUMBER('indicators-aux'!AM6),'indicators-aux'!AM6,"")</f>
        <v>1.2050847457627119</v>
      </c>
      <c r="AN6" s="1">
        <f>IF(ISNUMBER('indicators-aux'!AN6),'indicators-aux'!AN6,"")</f>
        <v>25.764</v>
      </c>
      <c r="AO6" s="13">
        <f>IF(ISNUMBER('indicators-aux'!AO6),'indicators-aux'!AO6,"")</f>
      </c>
      <c r="AP6" s="13">
        <f>IF(ISNUMBER('indicators-aux'!AP6),'indicators-aux'!AP6,"")</f>
      </c>
      <c r="AQ6" s="13">
        <f>IF(ISNUMBER('indicators-aux'!AQ6),'indicators-aux'!AQ6,"")</f>
      </c>
      <c r="AR6" s="12">
        <f>IF(ISNUMBER('indicators-aux'!AR6),'indicators-aux'!AR6,"")</f>
        <v>0.5254064984856387</v>
      </c>
      <c r="AS6" s="12">
        <f>IF(ISNUMBER('indicators-aux'!AS6),'indicators-aux'!AS6,"")</f>
        <v>0.35027130399773077</v>
      </c>
      <c r="AT6" s="13">
        <f>IF(ISNUMBER('indicators-aux'!AT6),'indicators-aux'!AT6,"")</f>
      </c>
      <c r="AU6" s="25">
        <f>IF(ISNUMBER('indicators-aux'!AU6),'indicators-aux'!AU6,"")</f>
      </c>
      <c r="AV6" s="25">
        <f>IF(ISNUMBER('indicators-aux'!AV6),'indicators-aux'!AV6,"")</f>
        <v>61.92893401015228</v>
      </c>
      <c r="AW6" s="25">
        <f>IF(ISNUMBER('indicators-aux'!AW6),'indicators-aux'!AW6,"")</f>
      </c>
      <c r="AX6" s="25">
        <f>IF(ISNUMBER('indicators-aux'!AX6),'indicators-aux'!AX6,"")</f>
        <v>1.8966187329965025</v>
      </c>
      <c r="AY6" s="1">
        <f>IF(ISNUMBER('indicators-aux'!AY6),'indicators-aux'!AY6,"")</f>
      </c>
      <c r="AZ6" s="1">
        <f>IF(ISNUMBER('indicators-aux'!AZ6),'indicators-aux'!AZ6,"")</f>
      </c>
      <c r="BA6" s="12">
        <f>IF(ISNUMBER('indicators-aux'!BA6),'indicators-aux'!BA6,"")</f>
      </c>
      <c r="BB6" s="12">
        <f>IF(ISNUMBER('indicators-aux'!BB6),'indicators-aux'!BB6,"")</f>
      </c>
      <c r="BC6" s="12">
        <f>IF(ISNUMBER('indicators-aux'!BC6),'indicators-aux'!BC6,"")</f>
        <v>0.3360884643187204</v>
      </c>
      <c r="BD6" s="12">
        <f>IF(ISNUMBER('indicators-aux'!BD6),'indicators-aux'!BD6,"")</f>
        <v>0.19616331311134902</v>
      </c>
      <c r="BE6" s="12">
        <f>IF(ISNUMBER('indicators-aux'!BE6),'indicators-aux'!BE6,"")</f>
        <v>0</v>
      </c>
      <c r="BF6" s="1">
        <f>IF(ISNUMBER('indicators-aux'!BF6),'indicators-aux'!BF6,"")</f>
      </c>
      <c r="BG6" s="12">
        <f>IF(ISNUMBER('indicators-aux'!BG6),'indicators-aux'!BG6,"")</f>
      </c>
      <c r="BH6" s="12">
        <f>IF(ISNUMBER('indicators-aux'!BH6),'indicators-aux'!BH6,"")</f>
      </c>
      <c r="BI6" s="12">
        <f>IF(ISNUMBER('indicators-aux'!BI6),'indicators-aux'!BI6,"")</f>
      </c>
      <c r="BJ6" s="12">
        <f>IF(ISNUMBER('indicators-aux'!BJ6),'indicators-aux'!BJ6,"")</f>
      </c>
      <c r="BK6" s="12">
        <f>IF(ISNUMBER('indicators-aux'!BK6),'indicators-aux'!BK6,"")</f>
        <v>2</v>
      </c>
      <c r="BL6" s="12">
        <f>IF(ISNUMBER('indicators-aux'!BL6),'indicators-aux'!BL6,"")</f>
        <v>1</v>
      </c>
      <c r="BM6" s="12">
        <f>IF(ISNUMBER('indicators-aux'!BM6),'indicators-aux'!BM6,"")</f>
        <v>1</v>
      </c>
      <c r="BN6" s="13">
        <f>IF(ISNUMBER('indicators-aux'!BN6),'indicators-aux'!BN6,"")</f>
      </c>
      <c r="BO6" s="13">
        <f>IF(ISNUMBER('indicators-aux'!BO6),'indicators-aux'!BO6,"")</f>
      </c>
      <c r="BP6" s="13">
        <f>IF(ISNUMBER('indicators-aux'!BP6),'indicators-aux'!BP6,"")</f>
      </c>
      <c r="BQ6" s="12">
        <f>IF(ISNUMBER('indicators-aux'!BQ6),'indicators-aux'!BQ6,"")</f>
        <v>0.6632208502435247</v>
      </c>
      <c r="BR6" s="12">
        <f>IF(ISNUMBER('indicators-aux'!BR6),'indicators-aux'!BR6,"")</f>
        <v>0.33677914975647527</v>
      </c>
      <c r="BS6" s="12">
        <f>IF(ISNUMBER('indicators-aux'!BS6),'indicators-aux'!BS6,"")</f>
        <v>0.47462482392458555</v>
      </c>
      <c r="BT6" s="12">
        <f>IF(ISNUMBER('indicators-aux'!BT6),'indicators-aux'!BT6,"")</f>
        <v>0.4192382706685448</v>
      </c>
      <c r="BU6" s="12">
        <f>IF(ISNUMBER('indicators-aux'!BU6),'indicators-aux'!BU6,"")</f>
        <v>0.10613690540686965</v>
      </c>
      <c r="BV6" s="12">
        <f>IF(ISNUMBER('indicators-aux'!BV6),'indicators-aux'!BV6,"")</f>
        <v>0</v>
      </c>
      <c r="BW6" s="1">
        <f>IF(ISNUMBER('indicators-aux'!BW6),'indicators-aux'!BW6,"")</f>
      </c>
      <c r="BX6" s="12">
        <f>IF(ISNUMBER('indicators-aux'!BX6),'indicators-aux'!BX6,"")</f>
      </c>
      <c r="BY6" s="13">
        <f>IF(ISNUMBER('indicators-aux'!BY6),'indicators-aux'!BY6,"")</f>
      </c>
      <c r="BZ6" s="13">
        <f>IF(ISNUMBER('indicators-aux'!BZ6),'indicators-aux'!BZ6,"")</f>
      </c>
      <c r="CA6" s="12">
        <f>IF(ISNUMBER('indicators-aux'!CA6),'indicators-aux'!CA6,"")</f>
      </c>
      <c r="CB6" s="12">
        <f>IF(ISNUMBER('indicators-aux'!CB6),'indicators-aux'!CB6,"")</f>
      </c>
      <c r="CC6" s="12">
        <f>IF(ISNUMBER('indicators-aux'!CC6),'indicators-aux'!CC6,"")</f>
      </c>
      <c r="CD6" s="12">
        <f>IF(ISNUMBER('indicators-aux'!CD6),'indicators-aux'!CD6,"")</f>
      </c>
      <c r="CE6" s="12">
        <f>IF(ISNUMBER('indicators-aux'!CE6),'indicators-aux'!CE6,"")</f>
      </c>
      <c r="CF6" s="14">
        <f>IF(ISNUMBER('indicators-aux'!CF6),'indicators-aux'!CF6,"")</f>
        <v>1.0050411077107242</v>
      </c>
      <c r="CG6" s="14">
        <f>IF(ISNUMBER('indicators-aux'!CG6),'indicators-aux'!CG6,"")</f>
        <v>0.9517926658415814</v>
      </c>
      <c r="CH6" s="14">
        <f>IF(ISNUMBER('indicators-aux'!CH6),'indicators-aux'!CH6,"")</f>
        <v>0.9999042518119912</v>
      </c>
      <c r="CI6" s="13">
        <f>IF(ISNUMBER('indicators-aux'!CI6),'indicators-aux'!CI6,"")</f>
      </c>
      <c r="CJ6" s="12">
        <f>IF(ISNUMBER('indicators-aux'!CJ6),'indicators-aux'!CJ6,"")</f>
      </c>
      <c r="CK6" s="1">
        <f>IF(ISNUMBER('indicators-aux'!CK6),'indicators-aux'!CK6,"")</f>
      </c>
      <c r="CL6" s="1">
        <f>IF(ISNUMBER('indicators-aux'!CL6),'indicators-aux'!CL6,"")</f>
      </c>
      <c r="CM6" s="1">
        <f>IF(ISNUMBER('indicators-aux'!CM6),'indicators-aux'!CM6,"")</f>
        <v>0.09200132227366394</v>
      </c>
      <c r="CN6" s="12">
        <f>IF(ISNUMBER('indicators-aux'!CN6),'indicators-aux'!CN6,"")</f>
        <v>0.8914271393076388</v>
      </c>
      <c r="CO6" s="14">
        <f>IF(ISNUMBER('indicators-aux'!CO6),'indicators-aux'!CO6,"")</f>
        <v>1.0186335062724752</v>
      </c>
      <c r="CP6" s="12">
        <f>IF(ISNUMBER('indicators-aux'!CP6),'indicators-aux'!CP6,"")</f>
      </c>
      <c r="CQ6" s="13">
        <f>IF(ISNUMBER('indicators-aux'!CQ6),'indicators-aux'!CQ6,"")</f>
      </c>
      <c r="CR6" s="13">
        <f>IF(ISNUMBER('indicators-aux'!CR6),'indicators-aux'!CR6,"")</f>
      </c>
      <c r="CS6" s="13">
        <f>IF(ISNUMBER('indicators-aux'!CS6),'indicators-aux'!CS6,"")</f>
      </c>
      <c r="CT6" s="13">
        <f>IF(ISNUMBER('indicators-aux'!CT6),'indicators-aux'!CT6,"")</f>
      </c>
      <c r="CU6" s="13">
        <f>IF(ISNUMBER('indicators-aux'!CU6),'indicators-aux'!CU6,"")</f>
      </c>
      <c r="CV6" s="13">
        <f>IF(ISNUMBER('indicators-aux'!CV6),'indicators-aux'!CV6,"")</f>
      </c>
      <c r="CW6" s="13">
        <f>IF(ISNUMBER('indicators-aux'!CW6),'indicators-aux'!CW6,"")</f>
      </c>
      <c r="CX6" s="12">
        <f>IF(ISNUMBER('indicators-aux'!CX6),'indicators-aux'!CX6,"")</f>
      </c>
      <c r="CY6" s="13">
        <f>IF(ISNUMBER('indicators-aux'!CY6),'indicators-aux'!CY6,"")</f>
      </c>
      <c r="CZ6" s="13">
        <f>IF(ISNUMBER('indicators-aux'!CZ6),'indicators-aux'!CZ6,"")</f>
      </c>
      <c r="DA6" s="13">
        <f>IF(ISNUMBER('indicators-aux'!DA6),'indicators-aux'!DA6,"")</f>
      </c>
      <c r="DB6" s="13">
        <f>IF(ISNUMBER('indicators-aux'!DB6),'indicators-aux'!DB6,"")</f>
      </c>
      <c r="DC6" s="13">
        <f>IF(ISNUMBER('indicators-aux'!DC6),'indicators-aux'!DC6,"")</f>
      </c>
      <c r="DD6" s="12">
        <f>IF(ISNUMBER('indicators-aux'!DD6),'indicators-aux'!DD6,"")</f>
      </c>
      <c r="DE6" s="27">
        <f>IF(ISNUMBER('indicators-aux'!DE6),'indicators-aux'!DE6,"")</f>
      </c>
      <c r="DF6" s="12">
        <f>IF(ISNUMBER('indicators-aux'!DF6),'indicators-aux'!DF6,"")</f>
      </c>
      <c r="DG6" s="2">
        <f>IF(ISTEXT('indicators-aux'!DG6),'indicators-aux'!DG6,"")</f>
      </c>
      <c r="DH6" s="2">
        <f>IF(ISTEXT('indicators-aux'!DH6),'indicators-aux'!DH6,"")</f>
      </c>
      <c r="DI6" s="2">
        <f>IF(ISTEXT('indicators-aux'!DI6),'indicators-aux'!DI6,"")</f>
      </c>
      <c r="DJ6" s="2">
        <f>IF(ISTEXT('indicators-aux'!DJ6),'indicators-aux'!DJ6,"")</f>
      </c>
      <c r="DK6" s="2">
        <f>IF(ISTEXT('indicators-aux'!DK6),'indicators-aux'!DK6,"")</f>
      </c>
      <c r="DL6" s="2">
        <f>IF(ISTEXT('indicators-aux'!DL6),'indicators-aux'!DL6,"")</f>
      </c>
      <c r="DM6" s="2">
        <f>IF(ISTEXT('indicators-aux'!DM6),'indicators-aux'!DM6,"")</f>
      </c>
      <c r="DN6" s="2">
        <f>IF(ISTEXT('indicators-aux'!DN6),'indicators-aux'!DN6,"")</f>
      </c>
      <c r="DO6" s="2">
        <f>IF(ISTEXT('indicators-aux'!DO6),'indicators-aux'!DO6,"")</f>
      </c>
      <c r="DP6" s="2">
        <f>IF(ISTEXT('indicators-aux'!DP6),'indicators-aux'!DP6,"")</f>
      </c>
      <c r="DQ6" s="2">
        <f>IF(ISTEXT('indicators-aux'!DQ6),'indicators-aux'!DQ6,"")</f>
      </c>
      <c r="DR6" s="2">
        <f>IF(ISTEXT('indicators-aux'!DR6),'indicators-aux'!DR6,"")</f>
      </c>
      <c r="DS6" s="2">
        <f>IF(ISTEXT('indicators-aux'!DS6),'indicators-aux'!DS6,"")</f>
      </c>
      <c r="DT6" s="2">
        <f>IF(ISTEXT('indicators-aux'!DT6),'indicators-aux'!DT6,"")</f>
      </c>
      <c r="DU6" s="2">
        <f>IF(ISTEXT('indicators-aux'!DU6),'indicators-aux'!DU6,"")</f>
      </c>
      <c r="DV6" s="2">
        <f>IF(ISTEXT('indicators-aux'!DV6),'indicators-aux'!DV6,"")</f>
      </c>
      <c r="DW6" s="2">
        <f>IF(ISTEXT('indicators-aux'!DW6),'indicators-aux'!DW6,"")</f>
      </c>
      <c r="DX6" s="2">
        <f>IF(ISTEXT('indicators-aux'!DX6),'indicators-aux'!DX6,"")</f>
      </c>
      <c r="DY6" s="2">
        <f>IF(ISTEXT('indicators-aux'!DY6),'indicators-aux'!DY6,"")</f>
      </c>
      <c r="DZ6" s="2">
        <f>IF(ISTEXT('indicators-aux'!DZ6),'indicators-aux'!DZ6,"")</f>
      </c>
      <c r="EA6" s="48">
        <f>IF(ISTEXT('indicators-aux'!EA6),'indicators-aux'!EA6,"")</f>
      </c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2" customFormat="1" ht="12.75">
      <c r="A7" s="11" t="e">
        <f>'indicators-aux'!A7</f>
        <v>#REF!</v>
      </c>
      <c r="B7" s="2">
        <f>'indicators-aux'!B7</f>
        <v>0</v>
      </c>
      <c r="C7" s="2" t="e">
        <f>'indicators-aux'!C7</f>
        <v>#REF!</v>
      </c>
      <c r="D7" s="2">
        <v>5</v>
      </c>
      <c r="E7" s="1" t="str">
        <f>IF(ISNUMBER('indicators-aux'!E7),'indicators-aux'!E7,"-")</f>
        <v>-</v>
      </c>
      <c r="F7" s="1">
        <f>IF(ISTEXT('indicators-aux'!F7),'indicators-aux'!F7,"")</f>
      </c>
      <c r="G7" s="1">
        <f>IF(ISTEXT('indicators-aux'!G7),'indicators-aux'!G7,"")</f>
      </c>
      <c r="H7" s="1">
        <f>IF(ISTEXT('indicators-aux'!H7),'indicators-aux'!H7,"")</f>
      </c>
      <c r="I7" s="1">
        <f>IF(ISTEXT('indicators-aux'!I7),'indicators-aux'!I7,"")</f>
      </c>
      <c r="J7" s="1">
        <f>IF(ISTEXT('indicators-aux'!J7),'indicators-aux'!J7,"")</f>
      </c>
      <c r="K7" s="1">
        <f>IF(ISNUMBER('indicators-aux'!K7),'indicators-aux'!K7,"")</f>
      </c>
      <c r="L7" s="1">
        <f>IF(ISNUMBER('indicators-aux'!L7),'indicators-aux'!L7,"")</f>
        <v>0</v>
      </c>
      <c r="M7" s="1">
        <f>IF(ISNUMBER('indicators-aux'!M7),'indicators-aux'!M7,"")</f>
      </c>
      <c r="N7" s="1">
        <f>IF(ISNUMBER('indicators-aux'!N7),'indicators-aux'!N7,"")</f>
        <v>14.187192118226601</v>
      </c>
      <c r="O7" s="1">
        <f>IF(ISNUMBER('indicators-aux'!O7),'indicators-aux'!O7,"")</f>
        <v>29.482071713147413</v>
      </c>
      <c r="P7" s="1">
        <f>IF(ISNUMBER('indicators-aux'!P7),'indicators-aux'!P7,"")</f>
        <v>32.43055555555555</v>
      </c>
      <c r="Q7" s="1">
        <f>IF(ISNUMBER('indicators-aux'!Q7),'indicators-aux'!Q7,"")</f>
        <v>36.47297297297297</v>
      </c>
      <c r="R7" s="24">
        <f>IF(ISNUMBER('indicators-aux'!R7),'indicators-aux'!R7,"")</f>
      </c>
      <c r="S7" s="12">
        <f>IF(ISNUMBER('indicators-aux'!S7),'indicators-aux'!S7,"")</f>
        <v>0.5488736532810969</v>
      </c>
      <c r="T7" s="12">
        <f>IF(ISNUMBER('indicators-aux'!T7),'indicators-aux'!T7,"")</f>
        <v>0.48364348677766894</v>
      </c>
      <c r="U7" s="12">
        <f>IF(ISNUMBER('indicators-aux'!U7),'indicators-aux'!U7,"")</f>
        <v>0.09245837414299707</v>
      </c>
      <c r="V7" s="12">
        <f>IF(ISNUMBER('indicators-aux'!V7),'indicators-aux'!V7,"")</f>
        <v>0.5286973555337904</v>
      </c>
      <c r="W7" s="1">
        <f>IF(ISNUMBER('indicators-aux'!W7),'indicators-aux'!W7,"")</f>
        <v>582.7833347999962</v>
      </c>
      <c r="X7" s="1">
        <f>IF(ISNUMBER('indicators-aux'!X7),'indicators-aux'!X7,"")</f>
        <v>574.8746141975308</v>
      </c>
      <c r="Y7" s="1">
        <f>IF(ISNUMBER('indicators-aux'!Y7),'indicators-aux'!Y7,"")</f>
        <v>339.4248726447841</v>
      </c>
      <c r="Z7" s="1">
        <f>IF(ISNUMBER('indicators-aux'!Z7),'indicators-aux'!Z7,"")</f>
        <v>334.8186728395062</v>
      </c>
      <c r="AA7" s="12">
        <f>IF(ISNUMBER('indicators-aux'!AA7),'indicators-aux'!AA7,"")</f>
        <v>0.46638243936164087</v>
      </c>
      <c r="AB7" s="12">
        <f>IF(ISNUMBER('indicators-aux'!AB7),'indicators-aux'!AB7,"")</f>
        <v>0.4490983464884485</v>
      </c>
      <c r="AC7" s="12">
        <f>IF(ISNUMBER('indicators-aux'!AC7),'indicators-aux'!AC7,"")</f>
        <v>0.08440398686408943</v>
      </c>
      <c r="AD7" s="12">
        <f>IF(ISNUMBER('indicators-aux'!AD7),'indicators-aux'!AD7,"")</f>
        <v>0</v>
      </c>
      <c r="AE7" s="1">
        <f>IF(ISNUMBER('indicators-aux'!AE7),'indicators-aux'!AE7,"")</f>
        <v>158.30180008408868</v>
      </c>
      <c r="AF7" s="1">
        <f>IF(ISNUMBER('indicators-aux'!AF7),'indicators-aux'!AF7,"")</f>
        <v>171.66286611517057</v>
      </c>
      <c r="AG7" s="1">
        <f>IF(ISNUMBER('indicators-aux'!AG7),'indicators-aux'!AG7,"")</f>
        <v>41.792430926398886</v>
      </c>
      <c r="AH7" s="12">
        <f>IF(ISNUMBER('indicators-aux'!AH7),'indicators-aux'!AH7,"")</f>
        <v>0.41757965203093805</v>
      </c>
      <c r="AI7" s="1">
        <f>IF(ISNUMBER('indicators-aux'!AI7),'indicators-aux'!AI7,"")</f>
        <v>111.96886879456555</v>
      </c>
      <c r="AJ7" s="25">
        <f>IF(ISNUMBER('indicators-aux'!AJ7),'indicators-aux'!AJ7,"")</f>
        <v>7.892250126839167</v>
      </c>
      <c r="AK7" s="12">
        <f>IF(ISNUMBER('indicators-aux'!AK7),'indicators-aux'!AK7,"")</f>
        <v>0.035416666666666666</v>
      </c>
      <c r="AL7" s="12">
        <f>IF(ISNUMBER('indicators-aux'!AL7),'indicators-aux'!AL7,"")</f>
        <v>0.15901365443336982</v>
      </c>
      <c r="AM7" s="25">
        <f>IF(ISNUMBER('indicators-aux'!AM7),'indicators-aux'!AM7,"")</f>
        <v>1.0328407224958949</v>
      </c>
      <c r="AN7" s="1">
        <f>IF(ISNUMBER('indicators-aux'!AN7),'indicators-aux'!AN7,"")</f>
        <v>39.2589641434263</v>
      </c>
      <c r="AO7" s="13">
        <f>IF(ISNUMBER('indicators-aux'!AO7),'indicators-aux'!AO7,"")</f>
      </c>
      <c r="AP7" s="13">
        <f>IF(ISNUMBER('indicators-aux'!AP7),'indicators-aux'!AP7,"")</f>
      </c>
      <c r="AQ7" s="13">
        <f>IF(ISNUMBER('indicators-aux'!AQ7),'indicators-aux'!AQ7,"")</f>
      </c>
      <c r="AR7" s="12">
        <f>IF(ISNUMBER('indicators-aux'!AR7),'indicators-aux'!AR7,"")</f>
        <v>0.4752859648330958</v>
      </c>
      <c r="AS7" s="12">
        <f>IF(ISNUMBER('indicators-aux'!AS7),'indicators-aux'!AS7,"")</f>
        <v>0.31685757855167035</v>
      </c>
      <c r="AT7" s="13">
        <f>IF(ISNUMBER('indicators-aux'!AT7),'indicators-aux'!AT7,"")</f>
      </c>
      <c r="AU7" s="25">
        <f>IF(ISNUMBER('indicators-aux'!AU7),'indicators-aux'!AU7,"")</f>
      </c>
      <c r="AV7" s="25">
        <f>IF(ISNUMBER('indicators-aux'!AV7),'indicators-aux'!AV7,"")</f>
        <v>65.27431421446384</v>
      </c>
      <c r="AW7" s="25">
        <f>IF(ISNUMBER('indicators-aux'!AW7),'indicators-aux'!AW7,"")</f>
      </c>
      <c r="AX7" s="25">
        <f>IF(ISNUMBER('indicators-aux'!AX7),'indicators-aux'!AX7,"")</f>
        <v>1.9032903108525725</v>
      </c>
      <c r="AY7" s="1">
        <f>IF(ISNUMBER('indicators-aux'!AY7),'indicators-aux'!AY7,"")</f>
      </c>
      <c r="AZ7" s="1">
        <f>IF(ISNUMBER('indicators-aux'!AZ7),'indicators-aux'!AZ7,"")</f>
      </c>
      <c r="BA7" s="12">
        <f>IF(ISNUMBER('indicators-aux'!BA7),'indicators-aux'!BA7,"")</f>
      </c>
      <c r="BB7" s="12">
        <f>IF(ISNUMBER('indicators-aux'!BB7),'indicators-aux'!BB7,"")</f>
      </c>
      <c r="BC7" s="12">
        <f>IF(ISNUMBER('indicators-aux'!BC7),'indicators-aux'!BC7,"")</f>
        <v>0.3477374281863962</v>
      </c>
      <c r="BD7" s="12">
        <f>IF(ISNUMBER('indicators-aux'!BD7),'indicators-aux'!BD7,"")</f>
        <v>0.1737921451553624</v>
      </c>
      <c r="BE7" s="12">
        <f>IF(ISNUMBER('indicators-aux'!BE7),'indicators-aux'!BE7,"")</f>
        <v>0</v>
      </c>
      <c r="BF7" s="1">
        <f>IF(ISNUMBER('indicators-aux'!BF7),'indicators-aux'!BF7,"")</f>
      </c>
      <c r="BG7" s="12">
        <f>IF(ISNUMBER('indicators-aux'!BG7),'indicators-aux'!BG7,"")</f>
      </c>
      <c r="BH7" s="12">
        <f>IF(ISNUMBER('indicators-aux'!BH7),'indicators-aux'!BH7,"")</f>
      </c>
      <c r="BI7" s="12">
        <f>IF(ISNUMBER('indicators-aux'!BI7),'indicators-aux'!BI7,"")</f>
      </c>
      <c r="BJ7" s="12">
        <f>IF(ISNUMBER('indicators-aux'!BJ7),'indicators-aux'!BJ7,"")</f>
      </c>
      <c r="BK7" s="12">
        <f>IF(ISNUMBER('indicators-aux'!BK7),'indicators-aux'!BK7,"")</f>
        <v>2</v>
      </c>
      <c r="BL7" s="12">
        <f>IF(ISNUMBER('indicators-aux'!BL7),'indicators-aux'!BL7,"")</f>
        <v>1</v>
      </c>
      <c r="BM7" s="12">
        <f>IF(ISNUMBER('indicators-aux'!BM7),'indicators-aux'!BM7,"")</f>
        <v>1</v>
      </c>
      <c r="BN7" s="13">
        <f>IF(ISNUMBER('indicators-aux'!BN7),'indicators-aux'!BN7,"")</f>
      </c>
      <c r="BO7" s="13">
        <f>IF(ISNUMBER('indicators-aux'!BO7),'indicators-aux'!BO7,"")</f>
      </c>
      <c r="BP7" s="13">
        <f>IF(ISNUMBER('indicators-aux'!BP7),'indicators-aux'!BP7,"")</f>
      </c>
      <c r="BQ7" s="12">
        <f>IF(ISNUMBER('indicators-aux'!BQ7),'indicators-aux'!BQ7,"")</f>
        <v>0.6647792454685503</v>
      </c>
      <c r="BR7" s="12">
        <f>IF(ISNUMBER('indicators-aux'!BR7),'indicators-aux'!BR7,"")</f>
        <v>0.3352207545314497</v>
      </c>
      <c r="BS7" s="12">
        <f>IF(ISNUMBER('indicators-aux'!BS7),'indicators-aux'!BS7,"")</f>
        <v>0.46639466515463407</v>
      </c>
      <c r="BT7" s="12">
        <f>IF(ISNUMBER('indicators-aux'!BT7),'indicators-aux'!BT7,"")</f>
        <v>0.43170707655897544</v>
      </c>
      <c r="BU7" s="12">
        <f>IF(ISNUMBER('indicators-aux'!BU7),'indicators-aux'!BU7,"")</f>
        <v>0.10189825828639047</v>
      </c>
      <c r="BV7" s="12">
        <f>IF(ISNUMBER('indicators-aux'!BV7),'indicators-aux'!BV7,"")</f>
        <v>0</v>
      </c>
      <c r="BW7" s="1">
        <f>IF(ISNUMBER('indicators-aux'!BW7),'indicators-aux'!BW7,"")</f>
      </c>
      <c r="BX7" s="12">
        <f>IF(ISNUMBER('indicators-aux'!BX7),'indicators-aux'!BX7,"")</f>
      </c>
      <c r="BY7" s="13">
        <f>IF(ISNUMBER('indicators-aux'!BY7),'indicators-aux'!BY7,"")</f>
      </c>
      <c r="BZ7" s="13">
        <f>IF(ISNUMBER('indicators-aux'!BZ7),'indicators-aux'!BZ7,"")</f>
      </c>
      <c r="CA7" s="12">
        <f>IF(ISNUMBER('indicators-aux'!CA7),'indicators-aux'!CA7,"")</f>
      </c>
      <c r="CB7" s="12">
        <f>IF(ISNUMBER('indicators-aux'!CB7),'indicators-aux'!CB7,"")</f>
      </c>
      <c r="CC7" s="12">
        <f>IF(ISNUMBER('indicators-aux'!CC7),'indicators-aux'!CC7,"")</f>
      </c>
      <c r="CD7" s="12">
        <f>IF(ISNUMBER('indicators-aux'!CD7),'indicators-aux'!CD7,"")</f>
      </c>
      <c r="CE7" s="12">
        <f>IF(ISNUMBER('indicators-aux'!CE7),'indicators-aux'!CE7,"")</f>
      </c>
      <c r="CF7" s="14">
        <f>IF(ISNUMBER('indicators-aux'!CF7),'indicators-aux'!CF7,"")</f>
        <v>0.9896913509010882</v>
      </c>
      <c r="CG7" s="14">
        <f>IF(ISNUMBER('indicators-aux'!CG7),'indicators-aux'!CG7,"")</f>
        <v>0.9612499431835471</v>
      </c>
      <c r="CH7" s="14">
        <f>IF(ISNUMBER('indicators-aux'!CH7),'indicators-aux'!CH7,"")</f>
        <v>0.9994043898489497</v>
      </c>
      <c r="CI7" s="13">
        <f>IF(ISNUMBER('indicators-aux'!CI7),'indicators-aux'!CI7,"")</f>
      </c>
      <c r="CJ7" s="12">
        <f>IF(ISNUMBER('indicators-aux'!CJ7),'indicators-aux'!CJ7,"")</f>
      </c>
      <c r="CK7" s="1">
        <f>IF(ISNUMBER('indicators-aux'!CK7),'indicators-aux'!CK7,"")</f>
      </c>
      <c r="CL7" s="1">
        <f>IF(ISNUMBER('indicators-aux'!CL7),'indicators-aux'!CL7,"")</f>
      </c>
      <c r="CM7" s="1">
        <f>IF(ISNUMBER('indicators-aux'!CM7),'indicators-aux'!CM7,"")</f>
        <v>0.08045576715067684</v>
      </c>
      <c r="CN7" s="12">
        <f>IF(ISNUMBER('indicators-aux'!CN7),'indicators-aux'!CN7,"")</f>
        <v>0.8633296732111836</v>
      </c>
      <c r="CO7" s="14">
        <f>IF(ISNUMBER('indicators-aux'!CO7),'indicators-aux'!CO7,"")</f>
        <v>0.9835965155491363</v>
      </c>
      <c r="CP7" s="12">
        <f>IF(ISNUMBER('indicators-aux'!CP7),'indicators-aux'!CP7,"")</f>
      </c>
      <c r="CQ7" s="13">
        <f>IF(ISNUMBER('indicators-aux'!CQ7),'indicators-aux'!CQ7,"")</f>
      </c>
      <c r="CR7" s="13">
        <f>IF(ISNUMBER('indicators-aux'!CR7),'indicators-aux'!CR7,"")</f>
      </c>
      <c r="CS7" s="13">
        <f>IF(ISNUMBER('indicators-aux'!CS7),'indicators-aux'!CS7,"")</f>
      </c>
      <c r="CT7" s="13">
        <f>IF(ISNUMBER('indicators-aux'!CT7),'indicators-aux'!CT7,"")</f>
      </c>
      <c r="CU7" s="13">
        <f>IF(ISNUMBER('indicators-aux'!CU7),'indicators-aux'!CU7,"")</f>
      </c>
      <c r="CV7" s="13">
        <f>IF(ISNUMBER('indicators-aux'!CV7),'indicators-aux'!CV7,"")</f>
      </c>
      <c r="CW7" s="13">
        <f>IF(ISNUMBER('indicators-aux'!CW7),'indicators-aux'!CW7,"")</f>
      </c>
      <c r="CX7" s="12">
        <f>IF(ISNUMBER('indicators-aux'!CX7),'indicators-aux'!CX7,"")</f>
      </c>
      <c r="CY7" s="13">
        <f>IF(ISNUMBER('indicators-aux'!CY7),'indicators-aux'!CY7,"")</f>
      </c>
      <c r="CZ7" s="13">
        <f>IF(ISNUMBER('indicators-aux'!CZ7),'indicators-aux'!CZ7,"")</f>
      </c>
      <c r="DA7" s="13">
        <f>IF(ISNUMBER('indicators-aux'!DA7),'indicators-aux'!DA7,"")</f>
      </c>
      <c r="DB7" s="13">
        <f>IF(ISNUMBER('indicators-aux'!DB7),'indicators-aux'!DB7,"")</f>
      </c>
      <c r="DC7" s="13">
        <f>IF(ISNUMBER('indicators-aux'!DC7),'indicators-aux'!DC7,"")</f>
      </c>
      <c r="DD7" s="12">
        <f>IF(ISNUMBER('indicators-aux'!DD7),'indicators-aux'!DD7,"")</f>
      </c>
      <c r="DE7" s="27">
        <f>IF(ISNUMBER('indicators-aux'!DE7),'indicators-aux'!DE7,"")</f>
      </c>
      <c r="DF7" s="12">
        <f>IF(ISNUMBER('indicators-aux'!DF7),'indicators-aux'!DF7,"")</f>
      </c>
      <c r="DG7" s="2">
        <f>IF(ISTEXT('indicators-aux'!DG7),'indicators-aux'!DG7,"")</f>
      </c>
      <c r="DH7" s="2">
        <f>IF(ISTEXT('indicators-aux'!DH7),'indicators-aux'!DH7,"")</f>
      </c>
      <c r="DI7" s="2">
        <f>IF(ISTEXT('indicators-aux'!DI7),'indicators-aux'!DI7,"")</f>
      </c>
      <c r="DJ7" s="2">
        <f>IF(ISTEXT('indicators-aux'!DJ7),'indicators-aux'!DJ7,"")</f>
      </c>
      <c r="DK7" s="2">
        <f>IF(ISTEXT('indicators-aux'!DK7),'indicators-aux'!DK7,"")</f>
      </c>
      <c r="DL7" s="2">
        <f>IF(ISTEXT('indicators-aux'!DL7),'indicators-aux'!DL7,"")</f>
      </c>
      <c r="DM7" s="2">
        <f>IF(ISTEXT('indicators-aux'!DM7),'indicators-aux'!DM7,"")</f>
      </c>
      <c r="DN7" s="2">
        <f>IF(ISTEXT('indicators-aux'!DN7),'indicators-aux'!DN7,"")</f>
      </c>
      <c r="DO7" s="2">
        <f>IF(ISTEXT('indicators-aux'!DO7),'indicators-aux'!DO7,"")</f>
      </c>
      <c r="DP7" s="2">
        <f>IF(ISTEXT('indicators-aux'!DP7),'indicators-aux'!DP7,"")</f>
      </c>
      <c r="DQ7" s="2">
        <f>IF(ISTEXT('indicators-aux'!DQ7),'indicators-aux'!DQ7,"")</f>
      </c>
      <c r="DR7" s="2">
        <f>IF(ISTEXT('indicators-aux'!DR7),'indicators-aux'!DR7,"")</f>
      </c>
      <c r="DS7" s="2">
        <f>IF(ISTEXT('indicators-aux'!DS7),'indicators-aux'!DS7,"")</f>
      </c>
      <c r="DT7" s="2">
        <f>IF(ISTEXT('indicators-aux'!DT7),'indicators-aux'!DT7,"")</f>
      </c>
      <c r="DU7" s="2">
        <f>IF(ISTEXT('indicators-aux'!DU7),'indicators-aux'!DU7,"")</f>
      </c>
      <c r="DV7" s="2">
        <f>IF(ISTEXT('indicators-aux'!DV7),'indicators-aux'!DV7,"")</f>
      </c>
      <c r="DW7" s="2">
        <f>IF(ISTEXT('indicators-aux'!DW7),'indicators-aux'!DW7,"")</f>
      </c>
      <c r="DX7" s="2">
        <f>IF(ISTEXT('indicators-aux'!DX7),'indicators-aux'!DX7,"")</f>
      </c>
      <c r="DY7" s="2">
        <f>IF(ISTEXT('indicators-aux'!DY7),'indicators-aux'!DY7,"")</f>
      </c>
      <c r="DZ7" s="2">
        <f>IF(ISTEXT('indicators-aux'!DZ7),'indicators-aux'!DZ7,"")</f>
      </c>
      <c r="EA7" s="48">
        <f>IF(ISTEXT('indicators-aux'!EA7),'indicators-aux'!EA7,"")</f>
      </c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2" customFormat="1" ht="12.75">
      <c r="A8" s="11" t="e">
        <f>'indicators-aux'!A8</f>
        <v>#REF!</v>
      </c>
      <c r="B8" s="2">
        <f>'indicators-aux'!B8</f>
        <v>0</v>
      </c>
      <c r="C8" s="2" t="e">
        <f>'indicators-aux'!C8</f>
        <v>#REF!</v>
      </c>
      <c r="D8" s="2">
        <v>5</v>
      </c>
      <c r="E8" s="1" t="str">
        <f>IF(ISNUMBER('indicators-aux'!E8),'indicators-aux'!E8,"-")</f>
        <v>-</v>
      </c>
      <c r="F8" s="1">
        <f>IF(ISTEXT('indicators-aux'!F8),'indicators-aux'!F8,"")</f>
      </c>
      <c r="G8" s="1">
        <f>IF(ISTEXT('indicators-aux'!G8),'indicators-aux'!G8,"")</f>
      </c>
      <c r="H8" s="1">
        <f>IF(ISTEXT('indicators-aux'!H8),'indicators-aux'!H8,"")</f>
      </c>
      <c r="I8" s="1">
        <f>IF(ISTEXT('indicators-aux'!I8),'indicators-aux'!I8,"")</f>
      </c>
      <c r="J8" s="1">
        <f>IF(ISTEXT('indicators-aux'!J8),'indicators-aux'!J8,"")</f>
      </c>
      <c r="K8" s="1">
        <f>IF(ISNUMBER('indicators-aux'!K8),'indicators-aux'!K8,"")</f>
      </c>
      <c r="L8" s="1">
        <f>IF(ISNUMBER('indicators-aux'!L8),'indicators-aux'!L8,"")</f>
        <v>0</v>
      </c>
      <c r="M8" s="1">
        <f>IF(ISNUMBER('indicators-aux'!M8),'indicators-aux'!M8,"")</f>
      </c>
      <c r="N8" s="1">
        <f>IF(ISNUMBER('indicators-aux'!N8),'indicators-aux'!N8,"")</f>
        <v>14.491803278688524</v>
      </c>
      <c r="O8" s="1">
        <f>IF(ISNUMBER('indicators-aux'!O8),'indicators-aux'!O8,"")</f>
        <v>30</v>
      </c>
      <c r="P8" s="1">
        <f>IF(ISNUMBER('indicators-aux'!P8),'indicators-aux'!P8,"")</f>
        <v>33.540723981900456</v>
      </c>
      <c r="Q8" s="1">
        <f>IF(ISNUMBER('indicators-aux'!Q8),'indicators-aux'!Q8,"")</f>
        <v>37.299077733860344</v>
      </c>
      <c r="R8" s="24">
        <f>IF(ISNUMBER('indicators-aux'!R8),'indicators-aux'!R8,"")</f>
      </c>
      <c r="S8" s="12">
        <f>IF(ISNUMBER('indicators-aux'!S8),'indicators-aux'!S8,"")</f>
        <v>0.5601738144719441</v>
      </c>
      <c r="T8" s="12">
        <f>IF(ISNUMBER('indicators-aux'!T8),'indicators-aux'!T8,"")</f>
        <v>0.4804458719062914</v>
      </c>
      <c r="U8" s="12">
        <f>IF(ISNUMBER('indicators-aux'!U8),'indicators-aux'!U8,"")</f>
        <v>0.09370867183071983</v>
      </c>
      <c r="V8" s="12">
        <f>IF(ISNUMBER('indicators-aux'!V8),'indicators-aux'!V8,"")</f>
        <v>0.5348573587757416</v>
      </c>
      <c r="W8" s="1">
        <f>IF(ISNUMBER('indicators-aux'!W8),'indicators-aux'!W8,"")</f>
        <v>568.1443322784079</v>
      </c>
      <c r="X8" s="1">
        <f>IF(ISNUMBER('indicators-aux'!X8),'indicators-aux'!X8,"")</f>
        <v>579.6191553544495</v>
      </c>
      <c r="Y8" s="1">
        <f>IF(ISNUMBER('indicators-aux'!Y8),'indicators-aux'!Y8,"")</f>
        <v>353.31839497331885</v>
      </c>
      <c r="Z8" s="1">
        <f>IF(ISNUMBER('indicators-aux'!Z8),'indicators-aux'!Z8,"")</f>
        <v>360.45437405731525</v>
      </c>
      <c r="AA8" s="12">
        <f>IF(ISNUMBER('indicators-aux'!AA8),'indicators-aux'!AA8,"")</f>
        <v>0.45061066506263564</v>
      </c>
      <c r="AB8" s="12">
        <f>IF(ISNUMBER('indicators-aux'!AB8),'indicators-aux'!AB8,"")</f>
        <v>0.4683944870151947</v>
      </c>
      <c r="AC8" s="12">
        <f>IF(ISNUMBER('indicators-aux'!AC8),'indicators-aux'!AC8,"")</f>
        <v>0.08107330596019562</v>
      </c>
      <c r="AD8" s="12">
        <f>IF(ISNUMBER('indicators-aux'!AD8),'indicators-aux'!AD8,"")</f>
        <v>0</v>
      </c>
      <c r="AE8" s="1">
        <f>IF(ISNUMBER('indicators-aux'!AE8),'indicators-aux'!AE8,"")</f>
        <v>159.2090369377902</v>
      </c>
      <c r="AF8" s="1">
        <f>IF(ISNUMBER('indicators-aux'!AF8),'indicators-aux'!AF8,"")</f>
        <v>177.54889866892194</v>
      </c>
      <c r="AG8" s="1">
        <f>IF(ISNUMBER('indicators-aux'!AG8),'indicators-aux'!AG8,"")</f>
        <v>41.42730888201502</v>
      </c>
      <c r="AH8" s="12">
        <f>IF(ISNUMBER('indicators-aux'!AH8),'indicators-aux'!AH8,"")</f>
        <v>0.3781185961031779</v>
      </c>
      <c r="AI8" s="1">
        <f>IF(ISNUMBER('indicators-aux'!AI8),'indicators-aux'!AI8,"")</f>
        <v>104.41949247698177</v>
      </c>
      <c r="AJ8" s="25">
        <f>IF(ISNUMBER('indicators-aux'!AJ8),'indicators-aux'!AJ8,"")</f>
        <v>7.205417467303042</v>
      </c>
      <c r="AK8" s="12">
        <f>IF(ISNUMBER('indicators-aux'!AK8),'indicators-aux'!AK8,"")</f>
        <v>0.04762443438914027</v>
      </c>
      <c r="AL8" s="12">
        <f>IF(ISNUMBER('indicators-aux'!AL8),'indicators-aux'!AL8,"")</f>
        <v>0.1681617281690509</v>
      </c>
      <c r="AM8" s="25">
        <f>IF(ISNUMBER('indicators-aux'!AM8),'indicators-aux'!AM8,"")</f>
        <v>1.2524590163934426</v>
      </c>
      <c r="AN8" s="1">
        <f>IF(ISNUMBER('indicators-aux'!AN8),'indicators-aux'!AN8,"")</f>
        <v>53.77075098814229</v>
      </c>
      <c r="AO8" s="13">
        <f>IF(ISNUMBER('indicators-aux'!AO8),'indicators-aux'!AO8,"")</f>
      </c>
      <c r="AP8" s="13">
        <f>IF(ISNUMBER('indicators-aux'!AP8),'indicators-aux'!AP8,"")</f>
      </c>
      <c r="AQ8" s="13">
        <f>IF(ISNUMBER('indicators-aux'!AQ8),'indicators-aux'!AQ8,"")</f>
      </c>
      <c r="AR8" s="12">
        <f>IF(ISNUMBER('indicators-aux'!AR8),'indicators-aux'!AR8,"")</f>
        <v>0.5028475711892797</v>
      </c>
      <c r="AS8" s="12">
        <f>IF(ISNUMBER('indicators-aux'!AS8),'indicators-aux'!AS8,"")</f>
        <v>0.3352322182772402</v>
      </c>
      <c r="AT8" s="13">
        <f>IF(ISNUMBER('indicators-aux'!AT8),'indicators-aux'!AT8,"")</f>
      </c>
      <c r="AU8" s="25">
        <f>IF(ISNUMBER('indicators-aux'!AU8),'indicators-aux'!AU8,"")</f>
      </c>
      <c r="AV8" s="25">
        <f>IF(ISNUMBER('indicators-aux'!AV8),'indicators-aux'!AV8,"")</f>
        <v>65.18563603164942</v>
      </c>
      <c r="AW8" s="25">
        <f>IF(ISNUMBER('indicators-aux'!AW8),'indicators-aux'!AW8,"")</f>
      </c>
      <c r="AX8" s="25">
        <f>IF(ISNUMBER('indicators-aux'!AX8),'indicators-aux'!AX8,"")</f>
        <v>1.8478260869565217</v>
      </c>
      <c r="AY8" s="1">
        <f>IF(ISNUMBER('indicators-aux'!AY8),'indicators-aux'!AY8,"")</f>
      </c>
      <c r="AZ8" s="1">
        <f>IF(ISNUMBER('indicators-aux'!AZ8),'indicators-aux'!AZ8,"")</f>
      </c>
      <c r="BA8" s="12">
        <f>IF(ISNUMBER('indicators-aux'!BA8),'indicators-aux'!BA8,"")</f>
      </c>
      <c r="BB8" s="12">
        <f>IF(ISNUMBER('indicators-aux'!BB8),'indicators-aux'!BB8,"")</f>
      </c>
      <c r="BC8" s="12">
        <f>IF(ISNUMBER('indicators-aux'!BC8),'indicators-aux'!BC8,"")</f>
        <v>0.36675930442279114</v>
      </c>
      <c r="BD8" s="12">
        <f>IF(ISNUMBER('indicators-aux'!BD8),'indicators-aux'!BD8,"")</f>
        <v>0.15946020546676196</v>
      </c>
      <c r="BE8" s="12">
        <f>IF(ISNUMBER('indicators-aux'!BE8),'indicators-aux'!BE8,"")</f>
        <v>0</v>
      </c>
      <c r="BF8" s="1">
        <f>IF(ISNUMBER('indicators-aux'!BF8),'indicators-aux'!BF8,"")</f>
      </c>
      <c r="BG8" s="12">
        <f>IF(ISNUMBER('indicators-aux'!BG8),'indicators-aux'!BG8,"")</f>
      </c>
      <c r="BH8" s="12">
        <f>IF(ISNUMBER('indicators-aux'!BH8),'indicators-aux'!BH8,"")</f>
      </c>
      <c r="BI8" s="12">
        <f>IF(ISNUMBER('indicators-aux'!BI8),'indicators-aux'!BI8,"")</f>
      </c>
      <c r="BJ8" s="12">
        <f>IF(ISNUMBER('indicators-aux'!BJ8),'indicators-aux'!BJ8,"")</f>
      </c>
      <c r="BK8" s="12">
        <f>IF(ISNUMBER('indicators-aux'!BK8),'indicators-aux'!BK8,"")</f>
        <v>2</v>
      </c>
      <c r="BL8" s="12">
        <f>IF(ISNUMBER('indicators-aux'!BL8),'indicators-aux'!BL8,"")</f>
        <v>1</v>
      </c>
      <c r="BM8" s="12">
        <f>IF(ISNUMBER('indicators-aux'!BM8),'indicators-aux'!BM8,"")</f>
        <v>1</v>
      </c>
      <c r="BN8" s="13">
        <f>IF(ISNUMBER('indicators-aux'!BN8),'indicators-aux'!BN8,"")</f>
      </c>
      <c r="BO8" s="13">
        <f>IF(ISNUMBER('indicators-aux'!BO8),'indicators-aux'!BO8,"")</f>
      </c>
      <c r="BP8" s="13">
        <f>IF(ISNUMBER('indicators-aux'!BP8),'indicators-aux'!BP8,"")</f>
      </c>
      <c r="BQ8" s="12">
        <f>IF(ISNUMBER('indicators-aux'!BQ8),'indicators-aux'!BQ8,"")</f>
        <v>0.6405450405035351</v>
      </c>
      <c r="BR8" s="12">
        <f>IF(ISNUMBER('indicators-aux'!BR8),'indicators-aux'!BR8,"")</f>
        <v>0.3594549594964649</v>
      </c>
      <c r="BS8" s="12">
        <f>IF(ISNUMBER('indicators-aux'!BS8),'indicators-aux'!BS8,"")</f>
        <v>0.4954822099993421</v>
      </c>
      <c r="BT8" s="12">
        <f>IF(ISNUMBER('indicators-aux'!BT8),'indicators-aux'!BT8,"")</f>
        <v>0.3973408408464324</v>
      </c>
      <c r="BU8" s="12">
        <f>IF(ISNUMBER('indicators-aux'!BU8),'indicators-aux'!BU8,"")</f>
        <v>0.10717694915422551</v>
      </c>
      <c r="BV8" s="12">
        <f>IF(ISNUMBER('indicators-aux'!BV8),'indicators-aux'!BV8,"")</f>
        <v>0</v>
      </c>
      <c r="BW8" s="1">
        <f>IF(ISNUMBER('indicators-aux'!BW8),'indicators-aux'!BW8,"")</f>
      </c>
      <c r="BX8" s="12">
        <f>IF(ISNUMBER('indicators-aux'!BX8),'indicators-aux'!BX8,"")</f>
      </c>
      <c r="BY8" s="13">
        <f>IF(ISNUMBER('indicators-aux'!BY8),'indicators-aux'!BY8,"")</f>
      </c>
      <c r="BZ8" s="13">
        <f>IF(ISNUMBER('indicators-aux'!BZ8),'indicators-aux'!BZ8,"")</f>
      </c>
      <c r="CA8" s="12">
        <f>IF(ISNUMBER('indicators-aux'!CA8),'indicators-aux'!CA8,"")</f>
      </c>
      <c r="CB8" s="12">
        <f>IF(ISNUMBER('indicators-aux'!CB8),'indicators-aux'!CB8,"")</f>
      </c>
      <c r="CC8" s="12">
        <f>IF(ISNUMBER('indicators-aux'!CC8),'indicators-aux'!CC8,"")</f>
      </c>
      <c r="CD8" s="12">
        <f>IF(ISNUMBER('indicators-aux'!CD8),'indicators-aux'!CD8,"")</f>
      </c>
      <c r="CE8" s="12">
        <f>IF(ISNUMBER('indicators-aux'!CE8),'indicators-aux'!CE8,"")</f>
      </c>
      <c r="CF8" s="14">
        <f>IF(ISNUMBER('indicators-aux'!CF8),'indicators-aux'!CF8,"")</f>
        <v>0.866476998564952</v>
      </c>
      <c r="CG8" s="14">
        <f>IF(ISNUMBER('indicators-aux'!CG8),'indicators-aux'!CG8,"")</f>
        <v>0.7714802847056005</v>
      </c>
      <c r="CH8" s="14">
        <f>IF(ISNUMBER('indicators-aux'!CH8),'indicators-aux'!CH8,"")</f>
        <v>0.9925814617128681</v>
      </c>
      <c r="CI8" s="13">
        <f>IF(ISNUMBER('indicators-aux'!CI8),'indicators-aux'!CI8,"")</f>
      </c>
      <c r="CJ8" s="12">
        <f>IF(ISNUMBER('indicators-aux'!CJ8),'indicators-aux'!CJ8,"")</f>
      </c>
      <c r="CK8" s="1">
        <f>IF(ISNUMBER('indicators-aux'!CK8),'indicators-aux'!CK8,"")</f>
      </c>
      <c r="CL8" s="1">
        <f>IF(ISNUMBER('indicators-aux'!CL8),'indicators-aux'!CL8,"")</f>
      </c>
      <c r="CM8" s="1">
        <f>IF(ISNUMBER('indicators-aux'!CM8),'indicators-aux'!CM8,"")</f>
        <v>0.06675052557590715</v>
      </c>
      <c r="CN8" s="12">
        <f>IF(ISNUMBER('indicators-aux'!CN8),'indicators-aux'!CN8,"")</f>
        <v>0.9749329711815837</v>
      </c>
      <c r="CO8" s="14">
        <f>IF(ISNUMBER('indicators-aux'!CO8),'indicators-aux'!CO8,"")</f>
        <v>0.951081971180205</v>
      </c>
      <c r="CP8" s="12">
        <f>IF(ISNUMBER('indicators-aux'!CP8),'indicators-aux'!CP8,"")</f>
      </c>
      <c r="CQ8" s="13">
        <f>IF(ISNUMBER('indicators-aux'!CQ8),'indicators-aux'!CQ8,"")</f>
      </c>
      <c r="CR8" s="13">
        <f>IF(ISNUMBER('indicators-aux'!CR8),'indicators-aux'!CR8,"")</f>
      </c>
      <c r="CS8" s="13">
        <f>IF(ISNUMBER('indicators-aux'!CS8),'indicators-aux'!CS8,"")</f>
      </c>
      <c r="CT8" s="13">
        <f>IF(ISNUMBER('indicators-aux'!CT8),'indicators-aux'!CT8,"")</f>
      </c>
      <c r="CU8" s="13">
        <f>IF(ISNUMBER('indicators-aux'!CU8),'indicators-aux'!CU8,"")</f>
      </c>
      <c r="CV8" s="13">
        <f>IF(ISNUMBER('indicators-aux'!CV8),'indicators-aux'!CV8,"")</f>
      </c>
      <c r="CW8" s="13">
        <f>IF(ISNUMBER('indicators-aux'!CW8),'indicators-aux'!CW8,"")</f>
      </c>
      <c r="CX8" s="12">
        <f>IF(ISNUMBER('indicators-aux'!CX8),'indicators-aux'!CX8,"")</f>
      </c>
      <c r="CY8" s="13">
        <f>IF(ISNUMBER('indicators-aux'!CY8),'indicators-aux'!CY8,"")</f>
      </c>
      <c r="CZ8" s="13">
        <f>IF(ISNUMBER('indicators-aux'!CZ8),'indicators-aux'!CZ8,"")</f>
      </c>
      <c r="DA8" s="13">
        <f>IF(ISNUMBER('indicators-aux'!DA8),'indicators-aux'!DA8,"")</f>
      </c>
      <c r="DB8" s="13">
        <f>IF(ISNUMBER('indicators-aux'!DB8),'indicators-aux'!DB8,"")</f>
      </c>
      <c r="DC8" s="13">
        <f>IF(ISNUMBER('indicators-aux'!DC8),'indicators-aux'!DC8,"")</f>
      </c>
      <c r="DD8" s="12">
        <f>IF(ISNUMBER('indicators-aux'!DD8),'indicators-aux'!DD8,"")</f>
      </c>
      <c r="DE8" s="27">
        <f>IF(ISNUMBER('indicators-aux'!DE8),'indicators-aux'!DE8,"")</f>
      </c>
      <c r="DF8" s="12">
        <f>IF(ISNUMBER('indicators-aux'!DF8),'indicators-aux'!DF8,"")</f>
      </c>
      <c r="DG8" s="2">
        <f>IF(ISTEXT('indicators-aux'!DG8),'indicators-aux'!DG8,"")</f>
      </c>
      <c r="DH8" s="2">
        <f>IF(ISTEXT('indicators-aux'!DH8),'indicators-aux'!DH8,"")</f>
      </c>
      <c r="DI8" s="2">
        <f>IF(ISTEXT('indicators-aux'!DI8),'indicators-aux'!DI8,"")</f>
      </c>
      <c r="DJ8" s="2">
        <f>IF(ISTEXT('indicators-aux'!DJ8),'indicators-aux'!DJ8,"")</f>
      </c>
      <c r="DK8" s="2">
        <f>IF(ISTEXT('indicators-aux'!DK8),'indicators-aux'!DK8,"")</f>
      </c>
      <c r="DL8" s="2">
        <f>IF(ISTEXT('indicators-aux'!DL8),'indicators-aux'!DL8,"")</f>
      </c>
      <c r="DM8" s="2">
        <f>IF(ISTEXT('indicators-aux'!DM8),'indicators-aux'!DM8,"")</f>
      </c>
      <c r="DN8" s="2">
        <f>IF(ISTEXT('indicators-aux'!DN8),'indicators-aux'!DN8,"")</f>
      </c>
      <c r="DO8" s="2">
        <f>IF(ISTEXT('indicators-aux'!DO8),'indicators-aux'!DO8,"")</f>
      </c>
      <c r="DP8" s="2">
        <f>IF(ISTEXT('indicators-aux'!DP8),'indicators-aux'!DP8,"")</f>
      </c>
      <c r="DQ8" s="2">
        <f>IF(ISTEXT('indicators-aux'!DQ8),'indicators-aux'!DQ8,"")</f>
      </c>
      <c r="DR8" s="2">
        <f>IF(ISTEXT('indicators-aux'!DR8),'indicators-aux'!DR8,"")</f>
      </c>
      <c r="DS8" s="2">
        <f>IF(ISTEXT('indicators-aux'!DS8),'indicators-aux'!DS8,"")</f>
      </c>
      <c r="DT8" s="2">
        <f>IF(ISTEXT('indicators-aux'!DT8),'indicators-aux'!DT8,"")</f>
      </c>
      <c r="DU8" s="2">
        <f>IF(ISTEXT('indicators-aux'!DU8),'indicators-aux'!DU8,"")</f>
      </c>
      <c r="DV8" s="2">
        <f>IF(ISTEXT('indicators-aux'!DV8),'indicators-aux'!DV8,"")</f>
      </c>
      <c r="DW8" s="2">
        <f>IF(ISTEXT('indicators-aux'!DW8),'indicators-aux'!DW8,"")</f>
      </c>
      <c r="DX8" s="2">
        <f>IF(ISTEXT('indicators-aux'!DX8),'indicators-aux'!DX8,"")</f>
      </c>
      <c r="DY8" s="2">
        <f>IF(ISTEXT('indicators-aux'!DY8),'indicators-aux'!DY8,"")</f>
      </c>
      <c r="DZ8" s="2">
        <f>IF(ISTEXT('indicators-aux'!DZ8),'indicators-aux'!DZ8,"")</f>
      </c>
      <c r="EA8" s="48">
        <f>IF(ISTEXT('indicators-aux'!EA8),'indicators-aux'!EA8,"")</f>
      </c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2" customFormat="1" ht="12.75">
      <c r="A9" s="11" t="e">
        <f>'indicators-aux'!A9</f>
        <v>#REF!</v>
      </c>
      <c r="B9" s="2">
        <f>'indicators-aux'!B9</f>
        <v>0</v>
      </c>
      <c r="C9" s="2" t="e">
        <f>'indicators-aux'!C9</f>
        <v>#REF!</v>
      </c>
      <c r="D9" s="2">
        <v>5</v>
      </c>
      <c r="E9" s="1" t="str">
        <f>IF(ISNUMBER('indicators-aux'!E9),'indicators-aux'!E9,"-")</f>
        <v>-</v>
      </c>
      <c r="F9" s="1">
        <f>IF(ISTEXT('indicators-aux'!F9),'indicators-aux'!F9,"")</f>
      </c>
      <c r="G9" s="1">
        <f>IF(ISTEXT('indicators-aux'!G9),'indicators-aux'!G9,"")</f>
      </c>
      <c r="H9" s="1">
        <f>IF(ISTEXT('indicators-aux'!H9),'indicators-aux'!H9,"")</f>
      </c>
      <c r="I9" s="1">
        <f>IF(ISTEXT('indicators-aux'!I9),'indicators-aux'!I9,"")</f>
      </c>
      <c r="J9" s="1">
        <f>IF(ISTEXT('indicators-aux'!J9),'indicators-aux'!J9,"")</f>
      </c>
      <c r="K9" s="1">
        <f>IF(ISNUMBER('indicators-aux'!K9),'indicators-aux'!K9,"")</f>
      </c>
      <c r="L9" s="1">
        <f>IF(ISNUMBER('indicators-aux'!L9),'indicators-aux'!L9,"")</f>
        <v>0</v>
      </c>
      <c r="M9" s="1">
        <f>IF(ISNUMBER('indicators-aux'!M9),'indicators-aux'!M9,"")</f>
      </c>
      <c r="N9" s="1">
        <f>IF(ISNUMBER('indicators-aux'!N9),'indicators-aux'!N9,"")</f>
        <v>14.771241830065359</v>
      </c>
      <c r="O9" s="1">
        <f>IF(ISNUMBER('indicators-aux'!O9),'indicators-aux'!O9,"")</f>
        <v>30.35294117647059</v>
      </c>
      <c r="P9" s="1">
        <f>IF(ISNUMBER('indicators-aux'!P9),'indicators-aux'!P9,"")</f>
        <v>35.154867256637175</v>
      </c>
      <c r="Q9" s="1">
        <f>IF(ISNUMBER('indicators-aux'!Q9),'indicators-aux'!Q9,"")</f>
        <v>38.940568475452196</v>
      </c>
      <c r="R9" s="24">
        <f>IF(ISNUMBER('indicators-aux'!R9),'indicators-aux'!R9,"")</f>
      </c>
      <c r="S9" s="12">
        <f>IF(ISNUMBER('indicators-aux'!S9),'indicators-aux'!S9,"")</f>
        <v>0.5773982558139535</v>
      </c>
      <c r="T9" s="12">
        <f>IF(ISNUMBER('indicators-aux'!T9),'indicators-aux'!T9,"")</f>
        <v>0.5176235465116279</v>
      </c>
      <c r="U9" s="12">
        <f>IF(ISNUMBER('indicators-aux'!U9),'indicators-aux'!U9,"")</f>
        <v>0.09665697674418605</v>
      </c>
      <c r="V9" s="12">
        <f>IF(ISNUMBER('indicators-aux'!V9),'indicators-aux'!V9,"")</f>
        <v>0.5476017441860465</v>
      </c>
      <c r="W9" s="1">
        <f>IF(ISNUMBER('indicators-aux'!W9),'indicators-aux'!W9,"")</f>
        <v>550.384923748028</v>
      </c>
      <c r="X9" s="1">
        <f>IF(ISNUMBER('indicators-aux'!X9),'indicators-aux'!X9,"")</f>
        <v>588.5232300884956</v>
      </c>
      <c r="Y9" s="1">
        <f>IF(ISNUMBER('indicators-aux'!Y9),'indicators-aux'!Y9,"")</f>
        <v>359.5610231299085</v>
      </c>
      <c r="Z9" s="1">
        <f>IF(ISNUMBER('indicators-aux'!Z9),'indicators-aux'!Z9,"")</f>
        <v>384.47640117994104</v>
      </c>
      <c r="AA9" s="12">
        <f>IF(ISNUMBER('indicators-aux'!AA9),'indicators-aux'!AA9,"")</f>
        <v>0.4426009398676513</v>
      </c>
      <c r="AB9" s="12">
        <f>IF(ISNUMBER('indicators-aux'!AB9),'indicators-aux'!AB9,"")</f>
        <v>0.4862376522489691</v>
      </c>
      <c r="AC9" s="12">
        <f>IF(ISNUMBER('indicators-aux'!AC9),'indicators-aux'!AC9,"")</f>
        <v>0.07120936031456795</v>
      </c>
      <c r="AD9" s="12">
        <f>IF(ISNUMBER('indicators-aux'!AD9),'indicators-aux'!AD9,"")</f>
        <v>0</v>
      </c>
      <c r="AE9" s="1">
        <f>IF(ISNUMBER('indicators-aux'!AE9),'indicators-aux'!AE9,"")</f>
        <v>159.14204677707184</v>
      </c>
      <c r="AF9" s="1">
        <f>IF(ISNUMBER('indicators-aux'!AF9),'indicators-aux'!AF9,"")</f>
        <v>169.53797775715586</v>
      </c>
      <c r="AG9" s="1">
        <f>IF(ISNUMBER('indicators-aux'!AG9),'indicators-aux'!AG9,"")</f>
        <v>42.74384591616026</v>
      </c>
      <c r="AH9" s="12">
        <f>IF(ISNUMBER('indicators-aux'!AH9),'indicators-aux'!AH9,"")</f>
        <v>0.3467098977178391</v>
      </c>
      <c r="AI9" s="1">
        <f>IF(ISNUMBER('indicators-aux'!AI9),'indicators-aux'!AI9,"")</f>
        <v>99.09123466738296</v>
      </c>
      <c r="AJ9" s="25">
        <f>IF(ISNUMBER('indicators-aux'!AJ9),'indicators-aux'!AJ9,"")</f>
        <v>6.708388895623714</v>
      </c>
      <c r="AK9" s="12">
        <f>IF(ISNUMBER('indicators-aux'!AK9),'indicators-aux'!AK9,"")</f>
        <v>0.05309734513274337</v>
      </c>
      <c r="AL9" s="12">
        <f>IF(ISNUMBER('indicators-aux'!AL9),'indicators-aux'!AL9,"")</f>
        <v>0.16327802819602955</v>
      </c>
      <c r="AM9" s="25">
        <f>IF(ISNUMBER('indicators-aux'!AM9),'indicators-aux'!AM9,"")</f>
        <v>1.2679738562091503</v>
      </c>
      <c r="AN9" s="1">
        <f>IF(ISNUMBER('indicators-aux'!AN9),'indicators-aux'!AN9,"")</f>
        <v>65.58039215686274</v>
      </c>
      <c r="AO9" s="13">
        <f>IF(ISNUMBER('indicators-aux'!AO9),'indicators-aux'!AO9,"")</f>
      </c>
      <c r="AP9" s="13">
        <f>IF(ISNUMBER('indicators-aux'!AP9),'indicators-aux'!AP9,"")</f>
      </c>
      <c r="AQ9" s="13">
        <f>IF(ISNUMBER('indicators-aux'!AQ9),'indicators-aux'!AQ9,"")</f>
      </c>
      <c r="AR9" s="12">
        <f>IF(ISNUMBER('indicators-aux'!AR9),'indicators-aux'!AR9,"")</f>
        <v>0.5258920446670162</v>
      </c>
      <c r="AS9" s="12">
        <f>IF(ISNUMBER('indicators-aux'!AS9),'indicators-aux'!AS9,"")</f>
        <v>0.35059469644467744</v>
      </c>
      <c r="AT9" s="13">
        <f>IF(ISNUMBER('indicators-aux'!AT9),'indicators-aux'!AT9,"")</f>
      </c>
      <c r="AU9" s="25">
        <f>IF(ISNUMBER('indicators-aux'!AU9),'indicators-aux'!AU9,"")</f>
      </c>
      <c r="AV9" s="25">
        <f>IF(ISNUMBER('indicators-aux'!AV9),'indicators-aux'!AV9,"")</f>
        <v>67.87842669845053</v>
      </c>
      <c r="AW9" s="25">
        <f>IF(ISNUMBER('indicators-aux'!AW9),'indicators-aux'!AW9,"")</f>
      </c>
      <c r="AX9" s="25">
        <f>IF(ISNUMBER('indicators-aux'!AX9),'indicators-aux'!AX9,"")</f>
        <v>1.839470284237726</v>
      </c>
      <c r="AY9" s="1">
        <f>IF(ISNUMBER('indicators-aux'!AY9),'indicators-aux'!AY9,"")</f>
      </c>
      <c r="AZ9" s="1">
        <f>IF(ISNUMBER('indicators-aux'!AZ9),'indicators-aux'!AZ9,"")</f>
      </c>
      <c r="BA9" s="12">
        <f>IF(ISNUMBER('indicators-aux'!BA9),'indicators-aux'!BA9,"")</f>
      </c>
      <c r="BB9" s="12">
        <f>IF(ISNUMBER('indicators-aux'!BB9),'indicators-aux'!BB9,"")</f>
      </c>
      <c r="BC9" s="12">
        <f>IF(ISNUMBER('indicators-aux'!BC9),'indicators-aux'!BC9,"")</f>
        <v>0.4036818081075308</v>
      </c>
      <c r="BD9" s="12">
        <f>IF(ISNUMBER('indicators-aux'!BD9),'indicators-aux'!BD9,"")</f>
        <v>0.15053858479454632</v>
      </c>
      <c r="BE9" s="12">
        <f>IF(ISNUMBER('indicators-aux'!BE9),'indicators-aux'!BE9,"")</f>
        <v>0</v>
      </c>
      <c r="BF9" s="1">
        <f>IF(ISNUMBER('indicators-aux'!BF9),'indicators-aux'!BF9,"")</f>
      </c>
      <c r="BG9" s="12">
        <f>IF(ISNUMBER('indicators-aux'!BG9),'indicators-aux'!BG9,"")</f>
      </c>
      <c r="BH9" s="12">
        <f>IF(ISNUMBER('indicators-aux'!BH9),'indicators-aux'!BH9,"")</f>
      </c>
      <c r="BI9" s="12">
        <f>IF(ISNUMBER('indicators-aux'!BI9),'indicators-aux'!BI9,"")</f>
      </c>
      <c r="BJ9" s="12">
        <f>IF(ISNUMBER('indicators-aux'!BJ9),'indicators-aux'!BJ9,"")</f>
      </c>
      <c r="BK9" s="12">
        <f>IF(ISNUMBER('indicators-aux'!BK9),'indicators-aux'!BK9,"")</f>
        <v>2</v>
      </c>
      <c r="BL9" s="12">
        <f>IF(ISNUMBER('indicators-aux'!BL9),'indicators-aux'!BL9,"")</f>
        <v>1</v>
      </c>
      <c r="BM9" s="12">
        <f>IF(ISNUMBER('indicators-aux'!BM9),'indicators-aux'!BM9,"")</f>
        <v>1</v>
      </c>
      <c r="BN9" s="13">
        <f>IF(ISNUMBER('indicators-aux'!BN9),'indicators-aux'!BN9,"")</f>
      </c>
      <c r="BO9" s="13">
        <f>IF(ISNUMBER('indicators-aux'!BO9),'indicators-aux'!BO9,"")</f>
      </c>
      <c r="BP9" s="13">
        <f>IF(ISNUMBER('indicators-aux'!BP9),'indicators-aux'!BP9,"")</f>
      </c>
      <c r="BQ9" s="12">
        <f>IF(ISNUMBER('indicators-aux'!BQ9),'indicators-aux'!BQ9,"")</f>
        <v>0.6336027459775936</v>
      </c>
      <c r="BR9" s="12">
        <f>IF(ISNUMBER('indicators-aux'!BR9),'indicators-aux'!BR9,"")</f>
        <v>0.36639725402240636</v>
      </c>
      <c r="BS9" s="12">
        <f>IF(ISNUMBER('indicators-aux'!BS9),'indicators-aux'!BS9,"")</f>
        <v>0.4918876424479919</v>
      </c>
      <c r="BT9" s="12">
        <f>IF(ISNUMBER('indicators-aux'!BT9),'indicators-aux'!BT9,"")</f>
        <v>0.42664950904233884</v>
      </c>
      <c r="BU9" s="12">
        <f>IF(ISNUMBER('indicators-aux'!BU9),'indicators-aux'!BU9,"")</f>
        <v>0.08146284850966928</v>
      </c>
      <c r="BV9" s="12">
        <f>IF(ISNUMBER('indicators-aux'!BV9),'indicators-aux'!BV9,"")</f>
        <v>0</v>
      </c>
      <c r="BW9" s="1">
        <f>IF(ISNUMBER('indicators-aux'!BW9),'indicators-aux'!BW9,"")</f>
      </c>
      <c r="BX9" s="12">
        <f>IF(ISNUMBER('indicators-aux'!BX9),'indicators-aux'!BX9,"")</f>
      </c>
      <c r="BY9" s="13">
        <f>IF(ISNUMBER('indicators-aux'!BY9),'indicators-aux'!BY9,"")</f>
      </c>
      <c r="BZ9" s="13">
        <f>IF(ISNUMBER('indicators-aux'!BZ9),'indicators-aux'!BZ9,"")</f>
      </c>
      <c r="CA9" s="12">
        <f>IF(ISNUMBER('indicators-aux'!CA9),'indicators-aux'!CA9,"")</f>
      </c>
      <c r="CB9" s="12">
        <f>IF(ISNUMBER('indicators-aux'!CB9),'indicators-aux'!CB9,"")</f>
      </c>
      <c r="CC9" s="12">
        <f>IF(ISNUMBER('indicators-aux'!CC9),'indicators-aux'!CC9,"")</f>
      </c>
      <c r="CD9" s="12">
        <f>IF(ISNUMBER('indicators-aux'!CD9),'indicators-aux'!CD9,"")</f>
      </c>
      <c r="CE9" s="12">
        <f>IF(ISNUMBER('indicators-aux'!CE9),'indicators-aux'!CE9,"")</f>
      </c>
      <c r="CF9" s="14">
        <f>IF(ISNUMBER('indicators-aux'!CF9),'indicators-aux'!CF9,"")</f>
        <v>0.8607166517244493</v>
      </c>
      <c r="CG9" s="14">
        <f>IF(ISNUMBER('indicators-aux'!CG9),'indicators-aux'!CG9,"")</f>
        <v>0.7895308135934747</v>
      </c>
      <c r="CH9" s="14">
        <f>IF(ISNUMBER('indicators-aux'!CH9),'indicators-aux'!CH9,"")</f>
        <v>1.0055557847829673</v>
      </c>
      <c r="CI9" s="13">
        <f>IF(ISNUMBER('indicators-aux'!CI9),'indicators-aux'!CI9,"")</f>
      </c>
      <c r="CJ9" s="12">
        <f>IF(ISNUMBER('indicators-aux'!CJ9),'indicators-aux'!CJ9,"")</f>
      </c>
      <c r="CK9" s="1">
        <f>IF(ISNUMBER('indicators-aux'!CK9),'indicators-aux'!CK9,"")</f>
      </c>
      <c r="CL9" s="1">
        <f>IF(ISNUMBER('indicators-aux'!CL9),'indicators-aux'!CL9,"")</f>
      </c>
      <c r="CM9" s="1">
        <f>IF(ISNUMBER('indicators-aux'!CM9),'indicators-aux'!CM9,"")</f>
        <v>0.05522808477245786</v>
      </c>
      <c r="CN9" s="12">
        <f>IF(ISNUMBER('indicators-aux'!CN9),'indicators-aux'!CN9,"")</f>
        <v>0.8872293119472844</v>
      </c>
      <c r="CO9" s="14">
        <f>IF(ISNUMBER('indicators-aux'!CO9),'indicators-aux'!CO9,"")</f>
        <v>0.9625009457960121</v>
      </c>
      <c r="CP9" s="12">
        <f>IF(ISNUMBER('indicators-aux'!CP9),'indicators-aux'!CP9,"")</f>
      </c>
      <c r="CQ9" s="13">
        <f>IF(ISNUMBER('indicators-aux'!CQ9),'indicators-aux'!CQ9,"")</f>
      </c>
      <c r="CR9" s="13">
        <f>IF(ISNUMBER('indicators-aux'!CR9),'indicators-aux'!CR9,"")</f>
      </c>
      <c r="CS9" s="13">
        <f>IF(ISNUMBER('indicators-aux'!CS9),'indicators-aux'!CS9,"")</f>
      </c>
      <c r="CT9" s="13">
        <f>IF(ISNUMBER('indicators-aux'!CT9),'indicators-aux'!CT9,"")</f>
      </c>
      <c r="CU9" s="13">
        <f>IF(ISNUMBER('indicators-aux'!CU9),'indicators-aux'!CU9,"")</f>
      </c>
      <c r="CV9" s="13">
        <f>IF(ISNUMBER('indicators-aux'!CV9),'indicators-aux'!CV9,"")</f>
      </c>
      <c r="CW9" s="13">
        <f>IF(ISNUMBER('indicators-aux'!CW9),'indicators-aux'!CW9,"")</f>
      </c>
      <c r="CX9" s="12">
        <f>IF(ISNUMBER('indicators-aux'!CX9),'indicators-aux'!CX9,"")</f>
      </c>
      <c r="CY9" s="13">
        <f>IF(ISNUMBER('indicators-aux'!CY9),'indicators-aux'!CY9,"")</f>
      </c>
      <c r="CZ9" s="13">
        <f>IF(ISNUMBER('indicators-aux'!CZ9),'indicators-aux'!CZ9,"")</f>
      </c>
      <c r="DA9" s="13">
        <f>IF(ISNUMBER('indicators-aux'!DA9),'indicators-aux'!DA9,"")</f>
      </c>
      <c r="DB9" s="13">
        <f>IF(ISNUMBER('indicators-aux'!DB9),'indicators-aux'!DB9,"")</f>
      </c>
      <c r="DC9" s="13">
        <f>IF(ISNUMBER('indicators-aux'!DC9),'indicators-aux'!DC9,"")</f>
      </c>
      <c r="DD9" s="12">
        <f>IF(ISNUMBER('indicators-aux'!DD9),'indicators-aux'!DD9,"")</f>
      </c>
      <c r="DE9" s="27">
        <f>IF(ISNUMBER('indicators-aux'!DE9),'indicators-aux'!DE9,"")</f>
      </c>
      <c r="DF9" s="12">
        <f>IF(ISNUMBER('indicators-aux'!DF9),'indicators-aux'!DF9,"")</f>
      </c>
      <c r="DG9" s="2">
        <f>IF(ISTEXT('indicators-aux'!DG9),'indicators-aux'!DG9,"")</f>
      </c>
      <c r="DH9" s="2">
        <f>IF(ISTEXT('indicators-aux'!DH9),'indicators-aux'!DH9,"")</f>
      </c>
      <c r="DI9" s="2">
        <f>IF(ISTEXT('indicators-aux'!DI9),'indicators-aux'!DI9,"")</f>
      </c>
      <c r="DJ9" s="2">
        <f>IF(ISTEXT('indicators-aux'!DJ9),'indicators-aux'!DJ9,"")</f>
      </c>
      <c r="DK9" s="2">
        <f>IF(ISTEXT('indicators-aux'!DK9),'indicators-aux'!DK9,"")</f>
      </c>
      <c r="DL9" s="2">
        <f>IF(ISTEXT('indicators-aux'!DL9),'indicators-aux'!DL9,"")</f>
      </c>
      <c r="DM9" s="2">
        <f>IF(ISTEXT('indicators-aux'!DM9),'indicators-aux'!DM9,"")</f>
      </c>
      <c r="DN9" s="2">
        <f>IF(ISTEXT('indicators-aux'!DN9),'indicators-aux'!DN9,"")</f>
      </c>
      <c r="DO9" s="2">
        <f>IF(ISTEXT('indicators-aux'!DO9),'indicators-aux'!DO9,"")</f>
      </c>
      <c r="DP9" s="2">
        <f>IF(ISTEXT('indicators-aux'!DP9),'indicators-aux'!DP9,"")</f>
      </c>
      <c r="DQ9" s="2">
        <f>IF(ISTEXT('indicators-aux'!DQ9),'indicators-aux'!DQ9,"")</f>
      </c>
      <c r="DR9" s="2">
        <f>IF(ISTEXT('indicators-aux'!DR9),'indicators-aux'!DR9,"")</f>
      </c>
      <c r="DS9" s="2">
        <f>IF(ISTEXT('indicators-aux'!DS9),'indicators-aux'!DS9,"")</f>
      </c>
      <c r="DT9" s="2">
        <f>IF(ISTEXT('indicators-aux'!DT9),'indicators-aux'!DT9,"")</f>
      </c>
      <c r="DU9" s="2">
        <f>IF(ISTEXT('indicators-aux'!DU9),'indicators-aux'!DU9,"")</f>
      </c>
      <c r="DV9" s="2">
        <f>IF(ISTEXT('indicators-aux'!DV9),'indicators-aux'!DV9,"")</f>
      </c>
      <c r="DW9" s="2">
        <f>IF(ISTEXT('indicators-aux'!DW9),'indicators-aux'!DW9,"")</f>
      </c>
      <c r="DX9" s="2">
        <f>IF(ISTEXT('indicators-aux'!DX9),'indicators-aux'!DX9,"")</f>
      </c>
      <c r="DY9" s="2">
        <f>IF(ISTEXT('indicators-aux'!DY9),'indicators-aux'!DY9,"")</f>
      </c>
      <c r="DZ9" s="2">
        <f>IF(ISTEXT('indicators-aux'!DZ9),'indicators-aux'!DZ9,"")</f>
      </c>
      <c r="EA9" s="48">
        <f>IF(ISTEXT('indicators-aux'!EA9),'indicators-aux'!EA9,"")</f>
      </c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2" customFormat="1" ht="12.75">
      <c r="A10" s="11" t="e">
        <f>'indicators-aux'!A10</f>
        <v>#REF!</v>
      </c>
      <c r="B10" s="2">
        <f>'indicators-aux'!B10</f>
        <v>0</v>
      </c>
      <c r="C10" s="2" t="e">
        <f>'indicators-aux'!C10</f>
        <v>#REF!</v>
      </c>
      <c r="D10" s="2">
        <v>5</v>
      </c>
      <c r="E10" s="1" t="str">
        <f>IF(ISNUMBER('indicators-aux'!E10),'indicators-aux'!E10,"-")</f>
        <v>-</v>
      </c>
      <c r="F10" s="1">
        <f>IF(ISTEXT('indicators-aux'!F10),'indicators-aux'!F10,"")</f>
      </c>
      <c r="G10" s="1">
        <f>IF(ISTEXT('indicators-aux'!G10),'indicators-aux'!G10,"")</f>
      </c>
      <c r="H10" s="1">
        <f>IF(ISTEXT('indicators-aux'!H10),'indicators-aux'!H10,"")</f>
      </c>
      <c r="I10" s="1">
        <f>IF(ISTEXT('indicators-aux'!I10),'indicators-aux'!I10,"")</f>
      </c>
      <c r="J10" s="1">
        <f>IF(ISTEXT('indicators-aux'!J10),'indicators-aux'!J10,"")</f>
      </c>
      <c r="K10" s="1">
        <f>IF(ISNUMBER('indicators-aux'!K10),'indicators-aux'!K10,"")</f>
      </c>
      <c r="L10" s="1">
        <f>IF(ISNUMBER('indicators-aux'!L10),'indicators-aux'!L10,"")</f>
        <v>0</v>
      </c>
      <c r="M10" s="1">
        <f>IF(ISNUMBER('indicators-aux'!M10),'indicators-aux'!M10,"")</f>
      </c>
      <c r="N10" s="1">
        <f>IF(ISNUMBER('indicators-aux'!N10),'indicators-aux'!N10,"")</f>
        <v>13.907185628742514</v>
      </c>
      <c r="O10" s="1">
        <f>IF(ISNUMBER('indicators-aux'!O10),'indicators-aux'!O10,"")</f>
        <v>29.773584905660375</v>
      </c>
      <c r="P10" s="1">
        <f>IF(ISNUMBER('indicators-aux'!P10),'indicators-aux'!P10,"")</f>
        <v>38.13778256189452</v>
      </c>
      <c r="Q10" s="1">
        <f>IF(ISNUMBER('indicators-aux'!Q10),'indicators-aux'!Q10,"")</f>
        <v>41.93916349809886</v>
      </c>
      <c r="R10" s="24">
        <f>IF(ISNUMBER('indicators-aux'!R10),'indicators-aux'!R10,"")</f>
      </c>
      <c r="S10" s="12">
        <f>IF(ISNUMBER('indicators-aux'!S10),'indicators-aux'!S10,"")</f>
        <v>0.6170323928944619</v>
      </c>
      <c r="T10" s="12">
        <f>IF(ISNUMBER('indicators-aux'!T10),'indicators-aux'!T10,"")</f>
        <v>0.538662486938349</v>
      </c>
      <c r="U10" s="12">
        <f>IF(ISNUMBER('indicators-aux'!U10),'indicators-aux'!U10,"")</f>
        <v>0.09648206199930337</v>
      </c>
      <c r="V10" s="12">
        <f>IF(ISNUMBER('indicators-aux'!V10),'indicators-aux'!V10,"")</f>
        <v>0.5762800417972831</v>
      </c>
      <c r="W10" s="1">
        <f>IF(ISNUMBER('indicators-aux'!W10),'indicators-aux'!W10,"")</f>
        <v>505.7241947270134</v>
      </c>
      <c r="X10" s="1">
        <f>IF(ISNUMBER('indicators-aux'!X10),'indicators-aux'!X10,"")</f>
        <v>586.6523143164694</v>
      </c>
      <c r="Y10" s="1">
        <f>IF(ISNUMBER('indicators-aux'!Y10),'indicators-aux'!Y10,"")</f>
        <v>378.8369116799864</v>
      </c>
      <c r="Z10" s="1">
        <f>IF(ISNUMBER('indicators-aux'!Z10),'indicators-aux'!Z10,"")</f>
        <v>439.45999282382496</v>
      </c>
      <c r="AA10" s="12">
        <f>IF(ISNUMBER('indicators-aux'!AA10),'indicators-aux'!AA10,"")</f>
        <v>0.41144291808699557</v>
      </c>
      <c r="AB10" s="12">
        <f>IF(ISNUMBER('indicators-aux'!AB10),'indicators-aux'!AB10,"")</f>
        <v>0.5213202424935192</v>
      </c>
      <c r="AC10" s="12">
        <f>IF(ISNUMBER('indicators-aux'!AC10),'indicators-aux'!AC10,"")</f>
        <v>0.06715519176991692</v>
      </c>
      <c r="AD10" s="12">
        <f>IF(ISNUMBER('indicators-aux'!AD10),'indicators-aux'!AD10,"")</f>
        <v>0</v>
      </c>
      <c r="AE10" s="1">
        <f>IF(ISNUMBER('indicators-aux'!AE10),'indicators-aux'!AE10,"")</f>
        <v>155.86976442067902</v>
      </c>
      <c r="AF10" s="1">
        <f>IF(ISNUMBER('indicators-aux'!AF10),'indicators-aux'!AF10,"")</f>
        <v>171.48753925124782</v>
      </c>
      <c r="AG10" s="1">
        <f>IF(ISNUMBER('indicators-aux'!AG10),'indicators-aux'!AG10,"")</f>
        <v>39.56283072053806</v>
      </c>
      <c r="AH10" s="12">
        <f>IF(ISNUMBER('indicators-aux'!AH10),'indicators-aux'!AH10,"")</f>
        <v>0.25090214067278294</v>
      </c>
      <c r="AI10" s="1">
        <f>IF(ISNUMBER('indicators-aux'!AI10),'indicators-aux'!AI10,"")</f>
        <v>67.29964728078093</v>
      </c>
      <c r="AJ10" s="25">
        <f>IF(ISNUMBER('indicators-aux'!AJ10),'indicators-aux'!AJ10,"")</f>
        <v>4.839199610717079</v>
      </c>
      <c r="AK10" s="12">
        <f>IF(ISNUMBER('indicators-aux'!AK10),'indicators-aux'!AK10,"")</f>
        <v>0.05425188374596341</v>
      </c>
      <c r="AL10" s="12">
        <f>IF(ISNUMBER('indicators-aux'!AL10),'indicators-aux'!AL10,"")</f>
        <v>0.1592129166581617</v>
      </c>
      <c r="AM10" s="25">
        <f>IF(ISNUMBER('indicators-aux'!AM10),'indicators-aux'!AM10,"")</f>
        <v>1.2365269461077844</v>
      </c>
      <c r="AN10" s="1">
        <f>IF(ISNUMBER('indicators-aux'!AN10),'indicators-aux'!AN10,"")</f>
        <v>79.05660377358491</v>
      </c>
      <c r="AO10" s="13">
        <f>IF(ISNUMBER('indicators-aux'!AO10),'indicators-aux'!AO10,"")</f>
      </c>
      <c r="AP10" s="13">
        <f>IF(ISNUMBER('indicators-aux'!AP10),'indicators-aux'!AP10,"")</f>
      </c>
      <c r="AQ10" s="13">
        <f>IF(ISNUMBER('indicators-aux'!AQ10),'indicators-aux'!AQ10,"")</f>
      </c>
      <c r="AR10" s="12">
        <f>IF(ISNUMBER('indicators-aux'!AR10),'indicators-aux'!AR10,"")</f>
        <v>0.5241684980526702</v>
      </c>
      <c r="AS10" s="12">
        <f>IF(ISNUMBER('indicators-aux'!AS10),'indicators-aux'!AS10,"")</f>
        <v>0.3494453140234101</v>
      </c>
      <c r="AT10" s="13">
        <f>IF(ISNUMBER('indicators-aux'!AT10),'indicators-aux'!AT10,"")</f>
      </c>
      <c r="AU10" s="25">
        <f>IF(ISNUMBER('indicators-aux'!AU10),'indicators-aux'!AU10,"")</f>
      </c>
      <c r="AV10" s="25">
        <f>IF(ISNUMBER('indicators-aux'!AV10),'indicators-aux'!AV10,"")</f>
        <v>67.34575087310827</v>
      </c>
      <c r="AW10" s="25">
        <f>IF(ISNUMBER('indicators-aux'!AW10),'indicators-aux'!AW10,"")</f>
      </c>
      <c r="AX10" s="25">
        <f>IF(ISNUMBER('indicators-aux'!AX10),'indicators-aux'!AX10,"")</f>
        <v>1.6885580852305895</v>
      </c>
      <c r="AY10" s="1">
        <f>IF(ISNUMBER('indicators-aux'!AY10),'indicators-aux'!AY10,"")</f>
      </c>
      <c r="AZ10" s="1">
        <f>IF(ISNUMBER('indicators-aux'!AZ10),'indicators-aux'!AZ10,"")</f>
      </c>
      <c r="BA10" s="12">
        <f>IF(ISNUMBER('indicators-aux'!BA10),'indicators-aux'!BA10,"")</f>
      </c>
      <c r="BB10" s="12">
        <f>IF(ISNUMBER('indicators-aux'!BB10),'indicators-aux'!BB10,"")</f>
      </c>
      <c r="BC10" s="12">
        <f>IF(ISNUMBER('indicators-aux'!BC10),'indicators-aux'!BC10,"")</f>
        <v>0.39242886580552</v>
      </c>
      <c r="BD10" s="12">
        <f>IF(ISNUMBER('indicators-aux'!BD10),'indicators-aux'!BD10,"")</f>
        <v>0.1633011325607256</v>
      </c>
      <c r="BE10" s="12">
        <f>IF(ISNUMBER('indicators-aux'!BE10),'indicators-aux'!BE10,"")</f>
        <v>0</v>
      </c>
      <c r="BF10" s="1">
        <f>IF(ISNUMBER('indicators-aux'!BF10),'indicators-aux'!BF10,"")</f>
      </c>
      <c r="BG10" s="12">
        <f>IF(ISNUMBER('indicators-aux'!BG10),'indicators-aux'!BG10,"")</f>
      </c>
      <c r="BH10" s="12">
        <f>IF(ISNUMBER('indicators-aux'!BH10),'indicators-aux'!BH10,"")</f>
      </c>
      <c r="BI10" s="12">
        <f>IF(ISNUMBER('indicators-aux'!BI10),'indicators-aux'!BI10,"")</f>
      </c>
      <c r="BJ10" s="12">
        <f>IF(ISNUMBER('indicators-aux'!BJ10),'indicators-aux'!BJ10,"")</f>
      </c>
      <c r="BK10" s="12">
        <f>IF(ISNUMBER('indicators-aux'!BK10),'indicators-aux'!BK10,"")</f>
        <v>2</v>
      </c>
      <c r="BL10" s="12">
        <f>IF(ISNUMBER('indicators-aux'!BL10),'indicators-aux'!BL10,"")</f>
        <v>1</v>
      </c>
      <c r="BM10" s="12">
        <f>IF(ISNUMBER('indicators-aux'!BM10),'indicators-aux'!BM10,"")</f>
        <v>1</v>
      </c>
      <c r="BN10" s="13">
        <f>IF(ISNUMBER('indicators-aux'!BN10),'indicators-aux'!BN10,"")</f>
      </c>
      <c r="BO10" s="13">
        <f>IF(ISNUMBER('indicators-aux'!BO10),'indicators-aux'!BO10,"")</f>
      </c>
      <c r="BP10" s="13">
        <f>IF(ISNUMBER('indicators-aux'!BP10),'indicators-aux'!BP10,"")</f>
      </c>
      <c r="BQ10" s="12">
        <f>IF(ISNUMBER('indicators-aux'!BQ10),'indicators-aux'!BQ10,"")</f>
        <v>0.622448791883962</v>
      </c>
      <c r="BR10" s="12">
        <f>IF(ISNUMBER('indicators-aux'!BR10),'indicators-aux'!BR10,"")</f>
        <v>0.377551208116038</v>
      </c>
      <c r="BS10" s="12">
        <f>IF(ISNUMBER('indicators-aux'!BS10),'indicators-aux'!BS10,"")</f>
        <v>0.4646247848155509</v>
      </c>
      <c r="BT10" s="12">
        <f>IF(ISNUMBER('indicators-aux'!BT10),'indicators-aux'!BT10,"")</f>
        <v>0.4593301391218258</v>
      </c>
      <c r="BU10" s="12">
        <f>IF(ISNUMBER('indicators-aux'!BU10),'indicators-aux'!BU10,"")</f>
        <v>0.0760450760626233</v>
      </c>
      <c r="BV10" s="12">
        <f>IF(ISNUMBER('indicators-aux'!BV10),'indicators-aux'!BV10,"")</f>
        <v>0</v>
      </c>
      <c r="BW10" s="1">
        <f>IF(ISNUMBER('indicators-aux'!BW10),'indicators-aux'!BW10,"")</f>
      </c>
      <c r="BX10" s="12">
        <f>IF(ISNUMBER('indicators-aux'!BX10),'indicators-aux'!BX10,"")</f>
      </c>
      <c r="BY10" s="13">
        <f>IF(ISNUMBER('indicators-aux'!BY10),'indicators-aux'!BY10,"")</f>
      </c>
      <c r="BZ10" s="13">
        <f>IF(ISNUMBER('indicators-aux'!BZ10),'indicators-aux'!BZ10,"")</f>
      </c>
      <c r="CA10" s="12">
        <f>IF(ISNUMBER('indicators-aux'!CA10),'indicators-aux'!CA10,"")</f>
      </c>
      <c r="CB10" s="12">
        <f>IF(ISNUMBER('indicators-aux'!CB10),'indicators-aux'!CB10,"")</f>
      </c>
      <c r="CC10" s="12">
        <f>IF(ISNUMBER('indicators-aux'!CC10),'indicators-aux'!CC10,"")</f>
      </c>
      <c r="CD10" s="12">
        <f>IF(ISNUMBER('indicators-aux'!CD10),'indicators-aux'!CD10,"")</f>
      </c>
      <c r="CE10" s="12">
        <f>IF(ISNUMBER('indicators-aux'!CE10),'indicators-aux'!CE10,"")</f>
      </c>
      <c r="CF10" s="14">
        <f>IF(ISNUMBER('indicators-aux'!CF10),'indicators-aux'!CF10,"")</f>
        <v>0.849148158154041</v>
      </c>
      <c r="CG10" s="14">
        <f>IF(ISNUMBER('indicators-aux'!CG10),'indicators-aux'!CG10,"")</f>
        <v>0.7802388528167186</v>
      </c>
      <c r="CH10" s="14">
        <f>IF(ISNUMBER('indicators-aux'!CH10),'indicators-aux'!CH10,"")</f>
        <v>1.0474618148979387</v>
      </c>
      <c r="CI10" s="13">
        <f>IF(ISNUMBER('indicators-aux'!CI10),'indicators-aux'!CI10,"")</f>
      </c>
      <c r="CJ10" s="12">
        <f>IF(ISNUMBER('indicators-aux'!CJ10),'indicators-aux'!CJ10,"")</f>
      </c>
      <c r="CK10" s="1">
        <f>IF(ISNUMBER('indicators-aux'!CK10),'indicators-aux'!CK10,"")</f>
      </c>
      <c r="CL10" s="1">
        <f>IF(ISNUMBER('indicators-aux'!CL10),'indicators-aux'!CL10,"")</f>
      </c>
      <c r="CM10" s="1">
        <f>IF(ISNUMBER('indicators-aux'!CM10),'indicators-aux'!CM10,"")</f>
        <v>0.046580530338566815</v>
      </c>
      <c r="CN10" s="12">
        <f>IF(ISNUMBER('indicators-aux'!CN10),'indicators-aux'!CN10,"")</f>
        <v>0.9326947839923475</v>
      </c>
      <c r="CO10" s="14">
        <f>IF(ISNUMBER('indicators-aux'!CO10),'indicators-aux'!CO10,"")</f>
        <v>0.9167828740375342</v>
      </c>
      <c r="CP10" s="12">
        <f>IF(ISNUMBER('indicators-aux'!CP10),'indicators-aux'!CP10,"")</f>
      </c>
      <c r="CQ10" s="13">
        <f>IF(ISNUMBER('indicators-aux'!CQ10),'indicators-aux'!CQ10,"")</f>
      </c>
      <c r="CR10" s="13">
        <f>IF(ISNUMBER('indicators-aux'!CR10),'indicators-aux'!CR10,"")</f>
      </c>
      <c r="CS10" s="13">
        <f>IF(ISNUMBER('indicators-aux'!CS10),'indicators-aux'!CS10,"")</f>
      </c>
      <c r="CT10" s="13">
        <f>IF(ISNUMBER('indicators-aux'!CT10),'indicators-aux'!CT10,"")</f>
      </c>
      <c r="CU10" s="13">
        <f>IF(ISNUMBER('indicators-aux'!CU10),'indicators-aux'!CU10,"")</f>
      </c>
      <c r="CV10" s="13">
        <f>IF(ISNUMBER('indicators-aux'!CV10),'indicators-aux'!CV10,"")</f>
      </c>
      <c r="CW10" s="13">
        <f>IF(ISNUMBER('indicators-aux'!CW10),'indicators-aux'!CW10,"")</f>
      </c>
      <c r="CX10" s="12">
        <f>IF(ISNUMBER('indicators-aux'!CX10),'indicators-aux'!CX10,"")</f>
      </c>
      <c r="CY10" s="13">
        <f>IF(ISNUMBER('indicators-aux'!CY10),'indicators-aux'!CY10,"")</f>
      </c>
      <c r="CZ10" s="13">
        <f>IF(ISNUMBER('indicators-aux'!CZ10),'indicators-aux'!CZ10,"")</f>
      </c>
      <c r="DA10" s="13">
        <f>IF(ISNUMBER('indicators-aux'!DA10),'indicators-aux'!DA10,"")</f>
      </c>
      <c r="DB10" s="13">
        <f>IF(ISNUMBER('indicators-aux'!DB10),'indicators-aux'!DB10,"")</f>
      </c>
      <c r="DC10" s="13">
        <f>IF(ISNUMBER('indicators-aux'!DC10),'indicators-aux'!DC10,"")</f>
      </c>
      <c r="DD10" s="12">
        <f>IF(ISNUMBER('indicators-aux'!DD10),'indicators-aux'!DD10,"")</f>
      </c>
      <c r="DE10" s="27">
        <f>IF(ISNUMBER('indicators-aux'!DE10),'indicators-aux'!DE10,"")</f>
      </c>
      <c r="DF10" s="12">
        <f>IF(ISNUMBER('indicators-aux'!DF10),'indicators-aux'!DF10,"")</f>
      </c>
      <c r="DG10" s="2">
        <f>IF(ISTEXT('indicators-aux'!DG10),'indicators-aux'!DG10,"")</f>
      </c>
      <c r="DH10" s="2">
        <f>IF(ISTEXT('indicators-aux'!DH10),'indicators-aux'!DH10,"")</f>
      </c>
      <c r="DI10" s="2">
        <f>IF(ISTEXT('indicators-aux'!DI10),'indicators-aux'!DI10,"")</f>
      </c>
      <c r="DJ10" s="2">
        <f>IF(ISTEXT('indicators-aux'!DJ10),'indicators-aux'!DJ10,"")</f>
      </c>
      <c r="DK10" s="2">
        <f>IF(ISTEXT('indicators-aux'!DK10),'indicators-aux'!DK10,"")</f>
      </c>
      <c r="DL10" s="2">
        <f>IF(ISTEXT('indicators-aux'!DL10),'indicators-aux'!DL10,"")</f>
      </c>
      <c r="DM10" s="2">
        <f>IF(ISTEXT('indicators-aux'!DM10),'indicators-aux'!DM10,"")</f>
      </c>
      <c r="DN10" s="2">
        <f>IF(ISTEXT('indicators-aux'!DN10),'indicators-aux'!DN10,"")</f>
      </c>
      <c r="DO10" s="2">
        <f>IF(ISTEXT('indicators-aux'!DO10),'indicators-aux'!DO10,"")</f>
      </c>
      <c r="DP10" s="2">
        <f>IF(ISTEXT('indicators-aux'!DP10),'indicators-aux'!DP10,"")</f>
      </c>
      <c r="DQ10" s="2">
        <f>IF(ISTEXT('indicators-aux'!DQ10),'indicators-aux'!DQ10,"")</f>
      </c>
      <c r="DR10" s="2">
        <f>IF(ISTEXT('indicators-aux'!DR10),'indicators-aux'!DR10,"")</f>
      </c>
      <c r="DS10" s="2">
        <f>IF(ISTEXT('indicators-aux'!DS10),'indicators-aux'!DS10,"")</f>
      </c>
      <c r="DT10" s="2">
        <f>IF(ISTEXT('indicators-aux'!DT10),'indicators-aux'!DT10,"")</f>
      </c>
      <c r="DU10" s="2">
        <f>IF(ISTEXT('indicators-aux'!DU10),'indicators-aux'!DU10,"")</f>
      </c>
      <c r="DV10" s="2">
        <f>IF(ISTEXT('indicators-aux'!DV10),'indicators-aux'!DV10,"")</f>
      </c>
      <c r="DW10" s="2">
        <f>IF(ISTEXT('indicators-aux'!DW10),'indicators-aux'!DW10,"")</f>
      </c>
      <c r="DX10" s="2">
        <f>IF(ISTEXT('indicators-aux'!DX10),'indicators-aux'!DX10,"")</f>
      </c>
      <c r="DY10" s="2">
        <f>IF(ISTEXT('indicators-aux'!DY10),'indicators-aux'!DY10,"")</f>
      </c>
      <c r="DZ10" s="2">
        <f>IF(ISTEXT('indicators-aux'!DZ10),'indicators-aux'!DZ10,"")</f>
      </c>
      <c r="EA10" s="48">
        <f>IF(ISTEXT('indicators-aux'!EA10),'indicators-aux'!EA10,"")</f>
      </c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wb165843</dc:creator>
  <cp:keywords/>
  <dc:description/>
  <cp:lastModifiedBy>User</cp:lastModifiedBy>
  <cp:lastPrinted>2012-02-24T13:07:29Z</cp:lastPrinted>
  <dcterms:created xsi:type="dcterms:W3CDTF">2005-12-20T20:56:20Z</dcterms:created>
  <dcterms:modified xsi:type="dcterms:W3CDTF">2012-02-24T13:07:33Z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-1834082087</vt:i4>
  </property>
  <property fmtid="{D5CDD505-2E9C-101B-9397-08002B2CF9AE}" pid="3" name="_EmailSubject">
    <vt:lpwstr>Tajikistan IBNET1_TE.xls</vt:lpwstr>
  </property>
  <property fmtid="{D5CDD505-2E9C-101B-9397-08002B2CF9AE}" pid="4" name="_AuthorEmail">
    <vt:lpwstr>Tatiana.EFIMOVA@oecd.org</vt:lpwstr>
  </property>
  <property fmtid="{D5CDD505-2E9C-101B-9397-08002B2CF9AE}" pid="5" name="_AuthorEmailDisplayName">
    <vt:lpwstr>EFIMOVA Tatiana, ENV/EG</vt:lpwstr>
  </property>
  <property fmtid="{D5CDD505-2E9C-101B-9397-08002B2CF9AE}" pid="6" name="_ReviewingToolsShownOnce">
    <vt:lpwstr/>
  </property>
</Properties>
</file>